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P:\1264_SPU Stormwater Code Revision\400 Technical\OSM Calculator\Draft PreSized\drafts sent to SPU\"/>
    </mc:Choice>
  </mc:AlternateContent>
  <xr:revisionPtr revIDLastSave="0" documentId="13_ncr:1_{FF9F809F-25E8-4962-8396-B037CC29EC92}" xr6:coauthVersionLast="47" xr6:coauthVersionMax="47" xr10:uidLastSave="{00000000-0000-0000-0000-000000000000}"/>
  <bookViews>
    <workbookView xWindow="-120" yWindow="-120" windowWidth="38640" windowHeight="21120" xr2:uid="{00000000-000D-0000-FFFF-FFFF00000000}"/>
  </bookViews>
  <sheets>
    <sheet name="Calculator" sheetId="1" r:id="rId1"/>
    <sheet name="Sizing Factors" sheetId="4" state="hidden" r:id="rId2"/>
    <sheet name="Lists" sheetId="2" state="hidden" r:id="rId3"/>
    <sheet name="Standards and Pre-Sizing" sheetId="5" state="hidden" r:id="rId4"/>
  </sheets>
  <definedNames>
    <definedName name="All">Lists!$C$8</definedName>
    <definedName name="DrywellDepth">Lists!$H$2:$H$3</definedName>
    <definedName name="FCStandard">Lists!$C$2:$C$5</definedName>
    <definedName name="InfRate">Lists!$F$2:$F$6</definedName>
    <definedName name="InfRateLarge">Lists!$F$5:$F$6</definedName>
    <definedName name="InfTrenchDepth">Lists!$G$2:$G$3</definedName>
    <definedName name="Pasture">Lists!$C$2</definedName>
    <definedName name="PastureandPeak">Lists!$C$5</definedName>
    <definedName name="PastureandWQ">Lists!$C$6</definedName>
    <definedName name="PastureCheck">Calculator!$BE$4</definedName>
    <definedName name="Peak">Lists!$C$3</definedName>
    <definedName name="PeakandWQ">Lists!$C$7</definedName>
    <definedName name="PeakCheck">Calculator!$BE$6</definedName>
    <definedName name="PipeDiameter">Lists!$I$2:$I$3</definedName>
    <definedName name="Ponding">Lists!$E$2:$E$4</definedName>
    <definedName name="PondingVert">Lists!$E$3:$E$4</definedName>
    <definedName name="Project">Lists!$B$2:$B$2</definedName>
    <definedName name="Sideslopes">Lists!$D$2:$D$3</definedName>
    <definedName name="Standard">Calculator!$BD$14</definedName>
    <definedName name="VaultDepth">Lists!$J$2:$J$3</definedName>
    <definedName name="WQ">Lists!$C$4</definedName>
    <definedName name="WQCheck">Calculator!$BE$8</definedName>
    <definedName name="YesNo">Lists!$A$2:$A$3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72" i="1" l="1"/>
  <c r="BH170" i="1"/>
  <c r="BI72" i="1"/>
  <c r="BA133" i="1" l="1"/>
  <c r="AT133" i="1"/>
  <c r="AR133" i="1"/>
  <c r="BA129" i="1"/>
  <c r="AT129" i="1"/>
  <c r="AR129" i="1"/>
  <c r="BH100" i="1" l="1"/>
  <c r="BH98" i="1"/>
  <c r="BI170" i="1"/>
  <c r="BE98" i="1"/>
  <c r="BF88" i="1"/>
  <c r="BE88" i="1"/>
  <c r="BI88" i="1"/>
  <c r="BI80" i="1"/>
  <c r="BI70" i="1"/>
  <c r="BI60" i="1"/>
  <c r="BI48" i="1"/>
  <c r="BF80" i="1"/>
  <c r="BE80" i="1"/>
  <c r="BF70" i="1"/>
  <c r="BE70" i="1"/>
  <c r="BF60" i="1"/>
  <c r="BH60" i="1" s="1"/>
  <c r="BE60" i="1"/>
  <c r="BF48" i="1"/>
  <c r="BH48" i="1" s="1"/>
  <c r="BE48" i="1"/>
  <c r="BH80" i="1" l="1"/>
  <c r="AV82" i="1" s="1"/>
  <c r="BH70" i="1"/>
  <c r="AV62" i="1"/>
  <c r="BJ80" i="1"/>
  <c r="BG60" i="1"/>
  <c r="BJ70" i="1"/>
  <c r="BJ88" i="1"/>
  <c r="BJ48" i="1"/>
  <c r="BG48" i="1"/>
  <c r="BJ60" i="1"/>
  <c r="AV72" i="1" l="1"/>
  <c r="BA172" i="1"/>
  <c r="AT172" i="1"/>
  <c r="AR172" i="1"/>
  <c r="AU202" i="1"/>
  <c r="BA157" i="1"/>
  <c r="AT157" i="1"/>
  <c r="AR157" i="1"/>
  <c r="BA147" i="1"/>
  <c r="AT147" i="1"/>
  <c r="AR147" i="1"/>
  <c r="Q116" i="1"/>
  <c r="BA108" i="1"/>
  <c r="AT108" i="1"/>
  <c r="AR108" i="1"/>
  <c r="K96" i="1"/>
  <c r="BA90" i="1"/>
  <c r="AT90" i="1"/>
  <c r="AR90" i="1"/>
  <c r="BA82" i="1"/>
  <c r="AT82" i="1"/>
  <c r="AR82" i="1"/>
  <c r="BA72" i="1"/>
  <c r="AT72" i="1"/>
  <c r="AR72" i="1"/>
  <c r="BA62" i="1"/>
  <c r="AT62" i="1"/>
  <c r="AR62" i="1"/>
  <c r="BA50" i="1"/>
  <c r="AT50" i="1"/>
  <c r="AR50" i="1"/>
  <c r="L135" i="1"/>
  <c r="K176" i="1"/>
  <c r="H34" i="1"/>
  <c r="H26" i="1"/>
  <c r="H20" i="1"/>
  <c r="AN7" i="1" l="1"/>
  <c r="L152" i="4" l="1"/>
  <c r="L151" i="4"/>
  <c r="L150" i="4"/>
  <c r="L149" i="4"/>
  <c r="L148" i="4"/>
  <c r="L147" i="4"/>
  <c r="L146" i="4"/>
  <c r="L145" i="4"/>
  <c r="L144" i="4"/>
  <c r="L127" i="4"/>
  <c r="L126" i="4"/>
  <c r="L125" i="4"/>
  <c r="L124" i="4"/>
  <c r="L123" i="4"/>
  <c r="L122" i="4"/>
  <c r="L121" i="4"/>
  <c r="L120" i="4"/>
  <c r="L119" i="4"/>
  <c r="L101" i="4"/>
  <c r="L100" i="4"/>
  <c r="L99" i="4"/>
  <c r="L98" i="4"/>
  <c r="L97" i="4"/>
  <c r="L96" i="4"/>
  <c r="L95" i="4"/>
  <c r="L94" i="4"/>
  <c r="L77" i="4"/>
  <c r="L76" i="4"/>
  <c r="L75" i="4"/>
  <c r="L74" i="4"/>
  <c r="L73" i="4"/>
  <c r="L72" i="4"/>
  <c r="L71" i="4"/>
  <c r="L70" i="4"/>
  <c r="L69" i="4"/>
  <c r="L27" i="4"/>
  <c r="L26" i="4"/>
  <c r="L25" i="4"/>
  <c r="L24" i="4"/>
  <c r="L23" i="4"/>
  <c r="L22" i="4"/>
  <c r="L21" i="4"/>
  <c r="L20" i="4"/>
  <c r="L19" i="4"/>
  <c r="BD14" i="1"/>
  <c r="AV170" i="1" s="1"/>
  <c r="L402" i="4"/>
  <c r="L401" i="4"/>
  <c r="L400" i="4"/>
  <c r="L399" i="4"/>
  <c r="L398" i="4"/>
  <c r="L397" i="4"/>
  <c r="BD153" i="1"/>
  <c r="BD143" i="1"/>
  <c r="L266" i="4"/>
  <c r="L265" i="4"/>
  <c r="L264" i="4"/>
  <c r="L263" i="4"/>
  <c r="L262" i="4"/>
  <c r="L261" i="4"/>
  <c r="L260" i="4"/>
  <c r="L259" i="4"/>
  <c r="BD78" i="1"/>
  <c r="L258" i="4"/>
  <c r="L157" i="4"/>
  <c r="L158" i="4"/>
  <c r="L159" i="4"/>
  <c r="L160" i="4"/>
  <c r="L161" i="4"/>
  <c r="L162" i="4"/>
  <c r="L163" i="4"/>
  <c r="L164" i="4"/>
  <c r="L165" i="4"/>
  <c r="L166" i="4"/>
  <c r="L167" i="4"/>
  <c r="L168" i="4"/>
  <c r="L169" i="4"/>
  <c r="L170" i="4"/>
  <c r="L171" i="4"/>
  <c r="L172" i="4"/>
  <c r="L173" i="4"/>
  <c r="L174" i="4"/>
  <c r="L175" i="4"/>
  <c r="L176" i="4"/>
  <c r="L177" i="4"/>
  <c r="L178" i="4"/>
  <c r="L179" i="4"/>
  <c r="L180" i="4"/>
  <c r="L181" i="4"/>
  <c r="L182" i="4"/>
  <c r="L183" i="4"/>
  <c r="L184" i="4"/>
  <c r="L185" i="4"/>
  <c r="L186" i="4"/>
  <c r="L187" i="4"/>
  <c r="L188" i="4"/>
  <c r="L189" i="4"/>
  <c r="L190" i="4"/>
  <c r="L191" i="4"/>
  <c r="L156" i="4"/>
  <c r="BD58" i="1"/>
  <c r="AV32" i="1" l="1"/>
  <c r="C32" i="1" s="1"/>
  <c r="AH96" i="1"/>
  <c r="Q182" i="1"/>
  <c r="AV98" i="1"/>
  <c r="AH40" i="1"/>
  <c r="AV40" i="1" s="1"/>
  <c r="C37" i="1"/>
  <c r="AH22" i="1"/>
  <c r="AH28" i="1"/>
  <c r="AH24" i="1"/>
  <c r="AH36" i="1"/>
  <c r="AV36" i="1" s="1"/>
  <c r="AH30" i="1"/>
  <c r="L414" i="4"/>
  <c r="L413" i="4"/>
  <c r="L412" i="4"/>
  <c r="L411" i="4"/>
  <c r="L410" i="4"/>
  <c r="L409" i="4"/>
  <c r="L408" i="4"/>
  <c r="L407" i="4"/>
  <c r="L406" i="4"/>
  <c r="L199" i="4"/>
  <c r="L200" i="4"/>
  <c r="L201" i="4"/>
  <c r="L202" i="4"/>
  <c r="L203" i="4"/>
  <c r="L204" i="4"/>
  <c r="L205" i="4"/>
  <c r="L206" i="4"/>
  <c r="L207" i="4"/>
  <c r="L208" i="4"/>
  <c r="L209" i="4"/>
  <c r="L210" i="4"/>
  <c r="L211" i="4"/>
  <c r="L212" i="4"/>
  <c r="L213" i="4"/>
  <c r="L214" i="4"/>
  <c r="L215" i="4"/>
  <c r="L216" i="4"/>
  <c r="L217" i="4"/>
  <c r="L218" i="4"/>
  <c r="L219" i="4"/>
  <c r="L220" i="4"/>
  <c r="L221" i="4"/>
  <c r="L222" i="4"/>
  <c r="L223" i="4"/>
  <c r="L224" i="4"/>
  <c r="L225" i="4"/>
  <c r="L226" i="4"/>
  <c r="L227" i="4"/>
  <c r="L228" i="4"/>
  <c r="L229" i="4"/>
  <c r="L230" i="4"/>
  <c r="L231" i="4"/>
  <c r="L232" i="4"/>
  <c r="L233" i="4"/>
  <c r="L234" i="4"/>
  <c r="L235" i="4"/>
  <c r="L236" i="4"/>
  <c r="L237" i="4"/>
  <c r="L238" i="4"/>
  <c r="L239" i="4"/>
  <c r="L240" i="4"/>
  <c r="L241" i="4"/>
  <c r="L242" i="4"/>
  <c r="L243" i="4"/>
  <c r="L244" i="4"/>
  <c r="L245" i="4"/>
  <c r="L246" i="4"/>
  <c r="L247" i="4"/>
  <c r="L248" i="4"/>
  <c r="L249" i="4"/>
  <c r="L250" i="4"/>
  <c r="L251" i="4"/>
  <c r="L252" i="4"/>
  <c r="L253" i="4"/>
  <c r="L254" i="4"/>
  <c r="L196" i="4"/>
  <c r="L197" i="4"/>
  <c r="L198" i="4"/>
  <c r="L195" i="4"/>
  <c r="BD68" i="1"/>
  <c r="C31" i="1" l="1"/>
  <c r="BK186" i="1"/>
  <c r="BK178" i="1"/>
  <c r="BK180" i="1"/>
  <c r="BD122" i="1"/>
  <c r="AT127" i="1"/>
  <c r="BK197" i="1"/>
  <c r="BK194" i="1"/>
  <c r="BK188" i="1"/>
  <c r="I462" i="4"/>
  <c r="H462" i="4"/>
  <c r="I461" i="4"/>
  <c r="H461" i="4"/>
  <c r="L480" i="4"/>
  <c r="L479" i="4"/>
  <c r="L478" i="4"/>
  <c r="L477" i="4"/>
  <c r="L476" i="4"/>
  <c r="L475" i="4"/>
  <c r="L474" i="4"/>
  <c r="L473" i="4"/>
  <c r="L472" i="4"/>
  <c r="L471" i="4"/>
  <c r="L470" i="4"/>
  <c r="L464" i="4"/>
  <c r="L459" i="4"/>
  <c r="L462" i="4"/>
  <c r="L448" i="4"/>
  <c r="L449" i="4"/>
  <c r="L450" i="4"/>
  <c r="L451" i="4"/>
  <c r="L442" i="4"/>
  <c r="L443" i="4"/>
  <c r="L444" i="4"/>
  <c r="L445" i="4"/>
  <c r="L446" i="4"/>
  <c r="L447" i="4"/>
  <c r="L452" i="4"/>
  <c r="L380" i="4"/>
  <c r="L379" i="4"/>
  <c r="L381" i="4"/>
  <c r="L382" i="4"/>
  <c r="L383" i="4"/>
  <c r="L384" i="4"/>
  <c r="L463" i="4"/>
  <c r="L465" i="4"/>
  <c r="L482" i="4"/>
  <c r="L483" i="4"/>
  <c r="L484" i="4"/>
  <c r="L457" i="4"/>
  <c r="L458" i="4"/>
  <c r="L460" i="4"/>
  <c r="L481" i="4"/>
  <c r="L353" i="4"/>
  <c r="L354" i="4"/>
  <c r="L355" i="4"/>
  <c r="L356" i="4"/>
  <c r="L357" i="4"/>
  <c r="L358" i="4"/>
  <c r="AU200" i="1"/>
  <c r="L44" i="4"/>
  <c r="L45" i="4"/>
  <c r="L46" i="4"/>
  <c r="L47" i="4"/>
  <c r="L48" i="4"/>
  <c r="L49" i="4"/>
  <c r="L50" i="4"/>
  <c r="L51" i="4"/>
  <c r="L52" i="4"/>
  <c r="L43" i="4"/>
  <c r="AT32" i="1"/>
  <c r="AT36" i="1"/>
  <c r="BI174" i="1"/>
  <c r="BI172" i="1"/>
  <c r="BI100" i="1"/>
  <c r="BI98" i="1"/>
  <c r="BI92" i="1"/>
  <c r="BI90" i="1"/>
  <c r="L469" i="4"/>
  <c r="L461" i="4"/>
  <c r="L456" i="4"/>
  <c r="L441" i="4"/>
  <c r="L437" i="4"/>
  <c r="L436" i="4"/>
  <c r="L435" i="4"/>
  <c r="L434" i="4"/>
  <c r="L433" i="4"/>
  <c r="L432" i="4"/>
  <c r="L431" i="4"/>
  <c r="L430" i="4"/>
  <c r="L429" i="4"/>
  <c r="L428" i="4"/>
  <c r="L427" i="4"/>
  <c r="L426" i="4"/>
  <c r="L425" i="4"/>
  <c r="L424" i="4"/>
  <c r="L423" i="4"/>
  <c r="L422" i="4"/>
  <c r="L421" i="4"/>
  <c r="L420" i="4"/>
  <c r="L419" i="4"/>
  <c r="L418" i="4"/>
  <c r="L396" i="4"/>
  <c r="L395" i="4"/>
  <c r="L394" i="4"/>
  <c r="L393" i="4"/>
  <c r="L392" i="4"/>
  <c r="L391" i="4"/>
  <c r="L390" i="4"/>
  <c r="L389" i="4"/>
  <c r="L388" i="4"/>
  <c r="L387" i="4"/>
  <c r="L386" i="4"/>
  <c r="L385" i="4"/>
  <c r="L378" i="4"/>
  <c r="L377" i="4"/>
  <c r="L376" i="4"/>
  <c r="L375" i="4"/>
  <c r="L374" i="4"/>
  <c r="L373" i="4"/>
  <c r="L372" i="4"/>
  <c r="L371" i="4"/>
  <c r="L370" i="4"/>
  <c r="L369" i="4"/>
  <c r="L368" i="4"/>
  <c r="L367" i="4"/>
  <c r="L363" i="4"/>
  <c r="L362" i="4"/>
  <c r="L352" i="4"/>
  <c r="L351" i="4"/>
  <c r="L350" i="4"/>
  <c r="L349" i="4"/>
  <c r="L348" i="4"/>
  <c r="L347" i="4"/>
  <c r="L343" i="4"/>
  <c r="L342" i="4"/>
  <c r="L341" i="4"/>
  <c r="L340" i="4"/>
  <c r="L339" i="4"/>
  <c r="L338" i="4"/>
  <c r="L337" i="4"/>
  <c r="L336" i="4"/>
  <c r="L335" i="4"/>
  <c r="L334" i="4"/>
  <c r="L333" i="4"/>
  <c r="L332" i="4"/>
  <c r="L331" i="4"/>
  <c r="L330" i="4"/>
  <c r="L329" i="4"/>
  <c r="L328" i="4"/>
  <c r="L327" i="4"/>
  <c r="L326" i="4"/>
  <c r="L325" i="4"/>
  <c r="L324" i="4"/>
  <c r="L323" i="4"/>
  <c r="L322" i="4"/>
  <c r="L321" i="4"/>
  <c r="L320" i="4"/>
  <c r="L319" i="4"/>
  <c r="L318" i="4"/>
  <c r="L317" i="4"/>
  <c r="L316" i="4"/>
  <c r="L315" i="4"/>
  <c r="L314" i="4"/>
  <c r="L313" i="4"/>
  <c r="L312" i="4"/>
  <c r="L311" i="4"/>
  <c r="L310" i="4"/>
  <c r="L309" i="4"/>
  <c r="L308" i="4"/>
  <c r="L307" i="4"/>
  <c r="L306" i="4"/>
  <c r="L305" i="4"/>
  <c r="L304" i="4"/>
  <c r="L300" i="4"/>
  <c r="L299" i="4"/>
  <c r="L298" i="4"/>
  <c r="L297" i="4"/>
  <c r="L296" i="4"/>
  <c r="L295" i="4"/>
  <c r="L294" i="4"/>
  <c r="L293" i="4"/>
  <c r="L292" i="4"/>
  <c r="L291" i="4"/>
  <c r="L290" i="4"/>
  <c r="L289" i="4"/>
  <c r="L285" i="4"/>
  <c r="L284" i="4"/>
  <c r="L283" i="4"/>
  <c r="L282" i="4"/>
  <c r="L281" i="4"/>
  <c r="L280" i="4"/>
  <c r="L279" i="4"/>
  <c r="L278" i="4"/>
  <c r="L277" i="4"/>
  <c r="L276" i="4"/>
  <c r="L275" i="4"/>
  <c r="L274" i="4"/>
  <c r="L273" i="4"/>
  <c r="L272" i="4"/>
  <c r="L271" i="4"/>
  <c r="L270" i="4"/>
  <c r="L143" i="4"/>
  <c r="L142" i="4"/>
  <c r="L141" i="4"/>
  <c r="L140" i="4"/>
  <c r="L139" i="4"/>
  <c r="L138" i="4"/>
  <c r="L137" i="4"/>
  <c r="L136" i="4"/>
  <c r="L135" i="4"/>
  <c r="L134" i="4"/>
  <c r="L133" i="4"/>
  <c r="L132" i="4"/>
  <c r="L131" i="4"/>
  <c r="L130" i="4"/>
  <c r="L129" i="4"/>
  <c r="L128" i="4"/>
  <c r="L118" i="4"/>
  <c r="L117" i="4"/>
  <c r="L116" i="4"/>
  <c r="L115" i="4"/>
  <c r="L114" i="4"/>
  <c r="L113" i="4"/>
  <c r="L112" i="4"/>
  <c r="L111" i="4"/>
  <c r="L110" i="4"/>
  <c r="L109" i="4"/>
  <c r="L108" i="4"/>
  <c r="L107" i="4"/>
  <c r="L106" i="4"/>
  <c r="L105" i="4"/>
  <c r="L104" i="4"/>
  <c r="L103" i="4"/>
  <c r="L102" i="4"/>
  <c r="L93" i="4"/>
  <c r="L92" i="4"/>
  <c r="L91" i="4"/>
  <c r="L90" i="4"/>
  <c r="L89" i="4"/>
  <c r="L88" i="4"/>
  <c r="L87" i="4"/>
  <c r="L86" i="4"/>
  <c r="L85" i="4"/>
  <c r="L84" i="4"/>
  <c r="L83" i="4"/>
  <c r="L82" i="4"/>
  <c r="L81" i="4"/>
  <c r="L80" i="4"/>
  <c r="L79" i="4"/>
  <c r="L78" i="4"/>
  <c r="L68" i="4"/>
  <c r="L67" i="4"/>
  <c r="L66" i="4"/>
  <c r="L65" i="4"/>
  <c r="L64" i="4"/>
  <c r="L63" i="4"/>
  <c r="L62" i="4"/>
  <c r="L61" i="4"/>
  <c r="L60" i="4"/>
  <c r="L59" i="4"/>
  <c r="L58" i="4"/>
  <c r="L57" i="4"/>
  <c r="L56" i="4"/>
  <c r="L55" i="4"/>
  <c r="L54" i="4"/>
  <c r="L53" i="4"/>
  <c r="L42" i="4"/>
  <c r="L41" i="4"/>
  <c r="L40" i="4"/>
  <c r="L39" i="4"/>
  <c r="L38" i="4"/>
  <c r="L37" i="4"/>
  <c r="L36" i="4"/>
  <c r="L35" i="4"/>
  <c r="L34" i="4"/>
  <c r="L33" i="4"/>
  <c r="L32" i="4"/>
  <c r="L31" i="4"/>
  <c r="L30" i="4"/>
  <c r="L29" i="4"/>
  <c r="L28" i="4"/>
  <c r="L18" i="4"/>
  <c r="L17" i="4"/>
  <c r="L16" i="4"/>
  <c r="L15" i="4"/>
  <c r="L14" i="4"/>
  <c r="L13" i="4"/>
  <c r="L12" i="4"/>
  <c r="L11" i="4"/>
  <c r="L10" i="4"/>
  <c r="L9" i="4"/>
  <c r="L8" i="4"/>
  <c r="L7" i="4"/>
  <c r="L6" i="4"/>
  <c r="L5" i="4"/>
  <c r="L4" i="4"/>
  <c r="L3" i="4"/>
  <c r="BD192" i="1"/>
  <c r="BD184" i="1"/>
  <c r="BD176" i="1"/>
  <c r="BD168" i="1"/>
  <c r="AT137" i="1"/>
  <c r="BD135" i="1"/>
  <c r="BF137" i="1" s="1"/>
  <c r="AT131" i="1"/>
  <c r="BD104" i="1"/>
  <c r="BD96" i="1"/>
  <c r="Z88" i="1"/>
  <c r="BH88" i="1" s="1"/>
  <c r="BD86" i="1"/>
  <c r="BD46" i="1"/>
  <c r="AT40" i="1"/>
  <c r="BI155" i="1" l="1"/>
  <c r="BE106" i="1"/>
  <c r="BH106" i="1" s="1"/>
  <c r="BF155" i="1"/>
  <c r="BE155" i="1"/>
  <c r="BJ155" i="1" s="1"/>
  <c r="BI145" i="1"/>
  <c r="BE178" i="1"/>
  <c r="BF145" i="1"/>
  <c r="BE145" i="1"/>
  <c r="BF106" i="1"/>
  <c r="BF170" i="1"/>
  <c r="BI106" i="1"/>
  <c r="BE170" i="1"/>
  <c r="BI84" i="1"/>
  <c r="BE84" i="1"/>
  <c r="BF84" i="1"/>
  <c r="BE82" i="1"/>
  <c r="BE131" i="1"/>
  <c r="BE127" i="1"/>
  <c r="BE137" i="1"/>
  <c r="AH137" i="1" s="1"/>
  <c r="BG131" i="1"/>
  <c r="BI131" i="1" s="1"/>
  <c r="AV133" i="1" s="1"/>
  <c r="BG127" i="1"/>
  <c r="BI127" i="1" s="1"/>
  <c r="AV129" i="1" s="1"/>
  <c r="BF131" i="1"/>
  <c r="BF127" i="1"/>
  <c r="BE149" i="1"/>
  <c r="BI157" i="1"/>
  <c r="BF157" i="1"/>
  <c r="BE157" i="1"/>
  <c r="BF159" i="1"/>
  <c r="BE159" i="1"/>
  <c r="BI159" i="1"/>
  <c r="BI149" i="1"/>
  <c r="BF149" i="1"/>
  <c r="BI147" i="1"/>
  <c r="BF147" i="1"/>
  <c r="BE147" i="1"/>
  <c r="BF82" i="1"/>
  <c r="BI82" i="1"/>
  <c r="BI62" i="1"/>
  <c r="BE62" i="1"/>
  <c r="BF62" i="1"/>
  <c r="BE64" i="1"/>
  <c r="BF64" i="1"/>
  <c r="BI64" i="1"/>
  <c r="BI186" i="1"/>
  <c r="BI180" i="1"/>
  <c r="BI178" i="1"/>
  <c r="BI110" i="1"/>
  <c r="BI108" i="1"/>
  <c r="BI188" i="1"/>
  <c r="BI52" i="1"/>
  <c r="BI50" i="1"/>
  <c r="BF174" i="1"/>
  <c r="BJ194" i="1"/>
  <c r="BF90" i="1"/>
  <c r="BI74" i="1"/>
  <c r="BF74" i="1"/>
  <c r="BE74" i="1"/>
  <c r="BF72" i="1"/>
  <c r="BE72" i="1"/>
  <c r="BE52" i="1"/>
  <c r="BF52" i="1"/>
  <c r="BE50" i="1"/>
  <c r="BF50" i="1"/>
  <c r="BE194" i="1"/>
  <c r="BF186" i="1"/>
  <c r="BF100" i="1"/>
  <c r="BE197" i="1"/>
  <c r="BE186" i="1"/>
  <c r="BF98" i="1"/>
  <c r="BF110" i="1"/>
  <c r="BJ180" i="1"/>
  <c r="BF194" i="1"/>
  <c r="BE180" i="1"/>
  <c r="BE92" i="1"/>
  <c r="BF108" i="1"/>
  <c r="BJ188" i="1"/>
  <c r="BE188" i="1"/>
  <c r="BF180" i="1"/>
  <c r="BF172" i="1"/>
  <c r="BF92" i="1"/>
  <c r="BJ178" i="1"/>
  <c r="BF188" i="1"/>
  <c r="BI194" i="1"/>
  <c r="BE174" i="1"/>
  <c r="BE90" i="1"/>
  <c r="BE172" i="1"/>
  <c r="BJ197" i="1"/>
  <c r="BJ186" i="1"/>
  <c r="BF178" i="1"/>
  <c r="BE110" i="1"/>
  <c r="BE100" i="1"/>
  <c r="BE108" i="1"/>
  <c r="BF197" i="1"/>
  <c r="BI197" i="1"/>
  <c r="BH145" i="1" l="1"/>
  <c r="AV147" i="1" s="1"/>
  <c r="BH74" i="1"/>
  <c r="BH155" i="1"/>
  <c r="BG106" i="1"/>
  <c r="Q194" i="1"/>
  <c r="BJ62" i="1"/>
  <c r="AV194" i="1"/>
  <c r="BJ145" i="1"/>
  <c r="Q188" i="1"/>
  <c r="BJ84" i="1"/>
  <c r="BJ170" i="1"/>
  <c r="AV108" i="1"/>
  <c r="BJ106" i="1"/>
  <c r="BG84" i="1"/>
  <c r="BH84" i="1"/>
  <c r="BG70" i="1"/>
  <c r="BH149" i="1"/>
  <c r="BJ159" i="1"/>
  <c r="BJ157" i="1"/>
  <c r="BJ172" i="1"/>
  <c r="BH157" i="1"/>
  <c r="AV157" i="1"/>
  <c r="BH172" i="1"/>
  <c r="BH174" i="1"/>
  <c r="BJ174" i="1"/>
  <c r="AV172" i="1"/>
  <c r="AV137" i="1"/>
  <c r="BJ108" i="1"/>
  <c r="BH82" i="1"/>
  <c r="BJ82" i="1"/>
  <c r="BJ98" i="1"/>
  <c r="BH159" i="1"/>
  <c r="AH127" i="1"/>
  <c r="AV127" i="1" s="1"/>
  <c r="AH131" i="1"/>
  <c r="AV131" i="1" s="1"/>
  <c r="BJ147" i="1"/>
  <c r="BH147" i="1"/>
  <c r="BJ149" i="1"/>
  <c r="BJ100" i="1"/>
  <c r="BJ74" i="1"/>
  <c r="BH110" i="1"/>
  <c r="BH108" i="1"/>
  <c r="BJ110" i="1"/>
  <c r="BJ90" i="1"/>
  <c r="BH92" i="1"/>
  <c r="BJ92" i="1"/>
  <c r="BH90" i="1"/>
  <c r="BJ72" i="1"/>
  <c r="BH62" i="1"/>
  <c r="AV50" i="1"/>
  <c r="BH72" i="1"/>
  <c r="BJ64" i="1"/>
  <c r="BH64" i="1"/>
  <c r="BJ52" i="1"/>
  <c r="BH52" i="1"/>
  <c r="BH50" i="1"/>
  <c r="BJ50" i="1"/>
  <c r="BG159" i="1"/>
  <c r="BG157" i="1"/>
  <c r="BG155" i="1"/>
  <c r="BG145" i="1"/>
  <c r="BG147" i="1"/>
  <c r="BG149" i="1"/>
  <c r="BG82" i="1"/>
  <c r="BG80" i="1"/>
  <c r="BG62" i="1"/>
  <c r="BG64" i="1"/>
  <c r="BG88" i="1"/>
  <c r="BG186" i="1"/>
  <c r="AH184" i="1" s="1"/>
  <c r="BG197" i="1"/>
  <c r="BH194" i="1"/>
  <c r="BG170" i="1"/>
  <c r="BG180" i="1"/>
  <c r="BG98" i="1"/>
  <c r="BG174" i="1"/>
  <c r="BG172" i="1"/>
  <c r="BG188" i="1"/>
  <c r="BG100" i="1"/>
  <c r="BG194" i="1"/>
  <c r="BG178" i="1"/>
  <c r="BG110" i="1"/>
  <c r="BG108" i="1"/>
  <c r="BG90" i="1"/>
  <c r="BG92" i="1"/>
  <c r="BG52" i="1"/>
  <c r="BG50" i="1"/>
  <c r="BG74" i="1"/>
  <c r="BG72" i="1"/>
  <c r="BH186" i="1"/>
  <c r="BH180" i="1"/>
  <c r="BH178" i="1"/>
  <c r="BH197" i="1"/>
  <c r="BH188" i="1"/>
  <c r="AH142" i="1" l="1"/>
  <c r="AF145" i="1" s="1"/>
  <c r="AV70" i="1"/>
  <c r="AV145" i="1"/>
  <c r="AV106" i="1"/>
  <c r="Q147" i="1"/>
  <c r="Q157" i="1"/>
  <c r="AV155" i="1"/>
  <c r="AV88" i="1"/>
  <c r="Q82" i="1"/>
  <c r="Q94" i="1"/>
  <c r="AV48" i="1"/>
  <c r="AV80" i="1"/>
  <c r="AV60" i="1"/>
  <c r="AH67" i="1"/>
  <c r="Y70" i="1" s="1"/>
  <c r="Q72" i="1"/>
  <c r="Q62" i="1"/>
  <c r="Q50" i="1"/>
  <c r="AV192" i="1"/>
  <c r="AV186" i="1"/>
  <c r="AV188" i="1" s="1"/>
  <c r="AH190" i="1"/>
  <c r="AF192" i="1" s="1"/>
  <c r="AT192" i="1" s="1"/>
  <c r="AV180" i="1"/>
  <c r="AV182" i="1" s="1"/>
  <c r="AH178" i="1"/>
  <c r="AF180" i="1" s="1"/>
  <c r="Q108" i="1"/>
  <c r="AV90" i="1"/>
  <c r="AU206" i="1" s="1"/>
  <c r="AT210" i="1" s="1"/>
  <c r="AH78" i="1"/>
  <c r="AF80" i="1" s="1"/>
  <c r="AH152" i="1"/>
  <c r="Q100" i="1"/>
  <c r="AF98" i="1"/>
  <c r="AH168" i="1"/>
  <c r="Y170" i="1" s="1"/>
  <c r="AH104" i="1"/>
  <c r="AF106" i="1" s="1"/>
  <c r="AH86" i="1"/>
  <c r="AF88" i="1" s="1"/>
  <c r="AH57" i="1"/>
  <c r="AF60" i="1" s="1"/>
  <c r="AH45" i="1"/>
  <c r="AF155" i="1"/>
  <c r="Y155" i="1"/>
  <c r="Y80" i="1"/>
  <c r="AF186" i="1"/>
  <c r="Y186" i="1" s="1"/>
  <c r="AU162" i="1" l="1"/>
  <c r="AE16" i="1"/>
  <c r="AU197" i="1"/>
  <c r="Y60" i="1"/>
  <c r="AF48" i="1"/>
  <c r="Y48" i="1"/>
  <c r="Y192" i="1"/>
  <c r="AF70" i="1"/>
  <c r="Y106" i="1"/>
  <c r="Y88" i="1"/>
  <c r="Y145" i="1"/>
  <c r="Y98" i="1"/>
  <c r="AF170" i="1"/>
  <c r="AT186" i="1"/>
  <c r="Y180" i="1"/>
  <c r="AT180" i="1"/>
  <c r="AU204" i="1" l="1"/>
  <c r="AT208" i="1" s="1"/>
  <c r="AE14" i="1" l="1"/>
</calcChain>
</file>

<file path=xl/sharedStrings.xml><?xml version="1.0" encoding="utf-8"?>
<sst xmlns="http://schemas.openxmlformats.org/spreadsheetml/2006/main" count="2234" uniqueCount="261">
  <si>
    <t>Project Type</t>
  </si>
  <si>
    <t>New Plus Replaced Hard Surface Area</t>
  </si>
  <si>
    <t>Yes/No</t>
  </si>
  <si>
    <t>No</t>
  </si>
  <si>
    <t>Yes</t>
  </si>
  <si>
    <t>sf</t>
  </si>
  <si>
    <t>Parcel</t>
  </si>
  <si>
    <t>Pre-developed Pasture Standard</t>
  </si>
  <si>
    <t>Flow Control Standard</t>
  </si>
  <si>
    <t>Retained Trees</t>
  </si>
  <si>
    <t>New Evergreen</t>
  </si>
  <si>
    <t>New Deciduous</t>
  </si>
  <si>
    <t>Dispersion</t>
  </si>
  <si>
    <t>Facility Size</t>
  </si>
  <si>
    <t>Area Managed</t>
  </si>
  <si>
    <t>New Trees</t>
  </si>
  <si>
    <t>No. Trees</t>
  </si>
  <si>
    <t xml:space="preserve">Total Canopy Area </t>
  </si>
  <si>
    <t>Sizing Factor / Equation</t>
  </si>
  <si>
    <t>Contributing Area</t>
  </si>
  <si>
    <t>Ponding Depth</t>
  </si>
  <si>
    <t>Infiltrating Facilities</t>
  </si>
  <si>
    <t>Reuse Facilities</t>
  </si>
  <si>
    <t>Rainwater Harvesting</t>
  </si>
  <si>
    <t>Alternative Pavement Surfaces</t>
  </si>
  <si>
    <t>Alternative Roof Surfaces</t>
  </si>
  <si>
    <t>Non Infiltrating Facilities</t>
  </si>
  <si>
    <t>Traditional Facilities</t>
  </si>
  <si>
    <t>Infiltration Chamber</t>
  </si>
  <si>
    <t>Trench Depth</t>
  </si>
  <si>
    <t>Well Depth</t>
  </si>
  <si>
    <t>Detention Facilities</t>
  </si>
  <si>
    <t>Detention Pipe</t>
  </si>
  <si>
    <t>Detention Vault</t>
  </si>
  <si>
    <t>Detention Cistern</t>
  </si>
  <si>
    <t>Total Area Managed</t>
  </si>
  <si>
    <t>Notes</t>
  </si>
  <si>
    <t>sf - square feet</t>
  </si>
  <si>
    <t>in - inch</t>
  </si>
  <si>
    <t>ft - feet</t>
  </si>
  <si>
    <t>in/hr - inch per hour</t>
  </si>
  <si>
    <t>Dispersed Impervious Area</t>
  </si>
  <si>
    <t>x</t>
  </si>
  <si>
    <t>Bioretention Bottom Area</t>
  </si>
  <si>
    <t>in</t>
  </si>
  <si>
    <t>in/hr</t>
  </si>
  <si>
    <t>ft</t>
  </si>
  <si>
    <t>Trench Length</t>
  </si>
  <si>
    <t>Trench Width</t>
  </si>
  <si>
    <t>Trench Area</t>
  </si>
  <si>
    <t>inf - infiltration</t>
  </si>
  <si>
    <t>Drywell Area</t>
  </si>
  <si>
    <t>Permeable Pavement Area</t>
  </si>
  <si>
    <t>Vegetated Roof System</t>
  </si>
  <si>
    <t>Vegetated Roof Area</t>
  </si>
  <si>
    <t>Sideslopes</t>
  </si>
  <si>
    <t>Vertical</t>
  </si>
  <si>
    <t>2.5H:1V</t>
  </si>
  <si>
    <t>Chamber Bottom Area</t>
  </si>
  <si>
    <t>Pipe Diameter</t>
  </si>
  <si>
    <t>Detention Pipe Length</t>
  </si>
  <si>
    <t>Max head above orifice</t>
  </si>
  <si>
    <t>Vault area</t>
  </si>
  <si>
    <t>Cistern area</t>
  </si>
  <si>
    <t>min - minimum</t>
  </si>
  <si>
    <t>Subgrade Slope ≤ 2%</t>
  </si>
  <si>
    <t>Subgrade Slope &gt; 2%</t>
  </si>
  <si>
    <t>Flow Control Standard(s) Achieved?</t>
  </si>
  <si>
    <t>BMP</t>
  </si>
  <si>
    <t>Native Soil Design 
Infiltration Rate
(inch/hour)</t>
  </si>
  <si>
    <t>NA</t>
  </si>
  <si>
    <t>Peak Control Standard</t>
  </si>
  <si>
    <t>Water Quality Treatment</t>
  </si>
  <si>
    <t>Coefficient</t>
  </si>
  <si>
    <t>Constant</t>
  </si>
  <si>
    <t>Ponding depth and infiltration rate combination do not achieve drawdown requirements.</t>
  </si>
  <si>
    <t>NA Note</t>
  </si>
  <si>
    <t>Infiltration Rate</t>
  </si>
  <si>
    <t>Factor/Equation</t>
  </si>
  <si>
    <t>Standard</t>
  </si>
  <si>
    <t>Lookup</t>
  </si>
  <si>
    <t>Error</t>
  </si>
  <si>
    <t xml:space="preserve"> </t>
  </si>
  <si>
    <t>Infiltration Trench Depth</t>
  </si>
  <si>
    <t>Trench Depth (ft)</t>
  </si>
  <si>
    <t>Ponding Depth (inch)</t>
  </si>
  <si>
    <t>Subgrade Soil Design 
Infiltration Rate
(inch/hour)</t>
  </si>
  <si>
    <t>Drywell</t>
  </si>
  <si>
    <t>DrywellDepth</t>
  </si>
  <si>
    <t>Ponding Depth in Storage Reservoir (inch)</t>
  </si>
  <si>
    <t>The minimum sizing factor is 20 percent because the contributing area to a facility is limited to 5 times the permeable pavement facility area.</t>
  </si>
  <si>
    <t>&gt;2</t>
  </si>
  <si>
    <t>Permeable pavement surface meets the peak flow standard (i.e., achieves a 100% credit) if the aggregate subbase depth is increased to 3.5 inches.</t>
  </si>
  <si>
    <t>&lt;2</t>
  </si>
  <si>
    <t>Subgrade Slope</t>
  </si>
  <si>
    <t>Detention Pipe Diameter (inch)</t>
  </si>
  <si>
    <t>Constant / Power</t>
  </si>
  <si>
    <t>Detention Pipe Diameter</t>
  </si>
  <si>
    <t>Detention Depth (feet)</t>
  </si>
  <si>
    <t>Vault Depth</t>
  </si>
  <si>
    <t>Retained Evergreen</t>
  </si>
  <si>
    <t>Retained Deciduous</t>
  </si>
  <si>
    <t>No.</t>
  </si>
  <si>
    <t>no. - number</t>
  </si>
  <si>
    <t>Sizing factors not provided for 2-inch ponding and vertical sideslopes</t>
  </si>
  <si>
    <t>Facility is not capable of achieving the Pre-developed Pasture Standard unless orifice controls are used.</t>
  </si>
  <si>
    <t>power</t>
  </si>
  <si>
    <t>constant</t>
  </si>
  <si>
    <t>=</t>
  </si>
  <si>
    <t>Sizing factors not provided for Peak Control Standard</t>
  </si>
  <si>
    <t>Error/Note</t>
  </si>
  <si>
    <t>Minimum Contributing Area (sf) &gt;</t>
  </si>
  <si>
    <t>Maximum Contributing Area (sf) ≤</t>
  </si>
  <si>
    <t>Facility is not capable of achieving the Peak Flow Control Standard unless orifice controls are used.</t>
  </si>
  <si>
    <t>Contributing Area Managed by Traditional Facilities</t>
  </si>
  <si>
    <t>Full Dispersion</t>
  </si>
  <si>
    <t>Fully Dispersed Impervious Area</t>
  </si>
  <si>
    <t>Downspout, Sheet Flow, or Concentrated Flow Dispersion</t>
  </si>
  <si>
    <t>Pre-developed Pasture and Peak Control Standards</t>
  </si>
  <si>
    <t>Total Area Mitigated by Trees</t>
  </si>
  <si>
    <t>To meet the Pasture Standard reduce the head to at least 3 feet</t>
  </si>
  <si>
    <t>1. Round up the design infiltration rate determined by the infiltration test to the nearest infiltration rate in the drop down menu.</t>
  </si>
  <si>
    <t>OSM - On-Site Stormwater Management</t>
  </si>
  <si>
    <t>MEF - Maximum Extent Feasible</t>
  </si>
  <si>
    <t>This calculator is for Parcel-based projects with less than 10,000 square feet of new plus replaced hard surface only.</t>
  </si>
  <si>
    <t>Total New Plus Replaced Hard Surface Area</t>
  </si>
  <si>
    <t>Contributing Area Managed by On-Site Facilities</t>
  </si>
  <si>
    <t>Check Dams</t>
  </si>
  <si>
    <t xml:space="preserve">Required bottom orifice diameter </t>
  </si>
  <si>
    <t>Peak Flow Orifice Diameter for Construction</t>
  </si>
  <si>
    <t>without check dams</t>
  </si>
  <si>
    <t>with check dams</t>
  </si>
  <si>
    <t>Check Dam</t>
  </si>
  <si>
    <r>
      <t>Site has ≥ 35% Existing Hard Surface</t>
    </r>
    <r>
      <rPr>
        <vertAlign val="superscript"/>
        <sz val="9"/>
        <rFont val="Calibri"/>
        <family val="2"/>
        <scheme val="minor"/>
      </rPr>
      <t>2</t>
    </r>
  </si>
  <si>
    <t>On-site Runoff Reduction Methods (OSM BMP)</t>
  </si>
  <si>
    <t>On-site Infiltration and Reuse Facilities (OSM BMP)</t>
  </si>
  <si>
    <t>On-site Impervious Surface Reduction Method (OSM BMP)</t>
  </si>
  <si>
    <t>On-site Non-Infiltrating Facilities (OSM BMP)</t>
  </si>
  <si>
    <r>
      <t>Design Inf Rate</t>
    </r>
    <r>
      <rPr>
        <vertAlign val="superscript"/>
        <sz val="8"/>
        <rFont val="Calibri"/>
        <family val="2"/>
        <scheme val="minor"/>
      </rPr>
      <t>1</t>
    </r>
  </si>
  <si>
    <r>
      <t>Flow Control Standard(s) Achieved</t>
    </r>
    <r>
      <rPr>
        <vertAlign val="superscript"/>
        <sz val="9"/>
        <rFont val="Calibri"/>
        <family val="2"/>
        <scheme val="minor"/>
      </rPr>
      <t>2</t>
    </r>
  </si>
  <si>
    <t>Check dams will be installed per the Seattle Stormwater Manual, Vol. 3, Section 5.4.6.5</t>
  </si>
  <si>
    <t>2. Projects with 35% or greater of existing hard surface and that only use On-Site Stormwater Management (OSM) BMPs may reduce the hard surface area that requires management by up to 2,000 square feet if SDCI determines that OSM BMPs have been applied to the maximum extent feasible (MEF) and only OSM BMPs are used for Flow Control.</t>
  </si>
  <si>
    <t>Table 5.22. Pre-sized Sizing Factors and Equations for Infiltrating Bioretention without Underdrains.</t>
  </si>
  <si>
    <t>Table 5.15. Pre-Sized Sizing Factors and Equations for Infiltration Trenches.</t>
  </si>
  <si>
    <t>Table 5.18. Pre-Sized Sizing Factors and Equations for Drywells.</t>
  </si>
  <si>
    <t>Table 5.26. Pre-sized Sizing Factors and Equations for Permeable Pavement Facilities without Underdrains.</t>
  </si>
  <si>
    <t>Table 5.36. Pre-sized Flow Control Credits for Permeable Pavement Surfaces with and without Check Dams.</t>
  </si>
  <si>
    <t>Table 5.34. Pre-sized Flow Control Credits for Vegetated Roofs.</t>
  </si>
  <si>
    <t>Table 5.46. Pre-Sized Sizing Factors and Equations for Non-infiltrating Bioretention.</t>
  </si>
  <si>
    <t>Table 5.28. Pre-Sized Sizing Factors and Equations for Infiltration Chambers.</t>
  </si>
  <si>
    <t>Table 5.39. Pre-sized Sizing Equations for Detention Pipe.</t>
  </si>
  <si>
    <t>Table 5.41. Pre-sized Sizing Equations for Detention Vaults.</t>
  </si>
  <si>
    <t>Table 5.43. Pre-Sized Sizing Factors and Equations for Aboveground Detention Cisterns.</t>
  </si>
  <si>
    <t>Facility size shall not be larger than prescribed because flow control performance may be diminished for larger facilities (larger facilities will not pond water sufficiently to slow flows).</t>
  </si>
  <si>
    <t>Table 5.31. Pre-sized Sizing Factors and Equations for Infiltrating Soil Cell Bioretention Without Underdrains.</t>
  </si>
  <si>
    <t>Soil Cell Bottom Area</t>
  </si>
  <si>
    <t>Table 5.32. Pre-sized Sizing Factors and Equations for Infiltrating Soil Cell Bioretention With Underdrains.</t>
  </si>
  <si>
    <t>Soil amendment BMP</t>
  </si>
  <si>
    <t>Tree planting and retention</t>
  </si>
  <si>
    <t>Dispersion BMPs</t>
  </si>
  <si>
    <t>Rainwater harvesting BMPs</t>
  </si>
  <si>
    <t>Alternative surface BMPs</t>
  </si>
  <si>
    <t>Detention BMPs</t>
  </si>
  <si>
    <t>Non-infiltrating BMPs</t>
  </si>
  <si>
    <t>Infiltration BMPs</t>
  </si>
  <si>
    <t>On-site</t>
  </si>
  <si>
    <t>Flow Control</t>
  </si>
  <si>
    <t>Water Quality</t>
  </si>
  <si>
    <t>Full dispersion</t>
  </si>
  <si>
    <t>Splashblock downspout dispersion</t>
  </si>
  <si>
    <t>Trench downspout dispersion</t>
  </si>
  <si>
    <t>Sheet flow dispersion</t>
  </si>
  <si>
    <t>Concentrated flow dispersion</t>
  </si>
  <si>
    <t>Sidewalk/trail compost-amended strip</t>
  </si>
  <si>
    <t>Infiltrating bioretention</t>
  </si>
  <si>
    <t>Rain gardens</t>
  </si>
  <si>
    <t>Permeable pavement facilities</t>
  </si>
  <si>
    <t>Perforated stub-out connections</t>
  </si>
  <si>
    <t>Infiltration chambers/vaults</t>
  </si>
  <si>
    <t>Infiltration basinsponds</t>
  </si>
  <si>
    <t>Rainwater harvestinga</t>
  </si>
  <si>
    <t>Vegetated roof systems</t>
  </si>
  <si>
    <t>Detention ponds</t>
  </si>
  <si>
    <t>Detention pipes</t>
  </si>
  <si>
    <t>Detention cisterns</t>
  </si>
  <si>
    <t>Other detention options</t>
  </si>
  <si>
    <t>Non-infiltrating Bioretention</t>
  </si>
  <si>
    <t>Basic biofiltration swale</t>
  </si>
  <si>
    <t>Wet biofiltration swale</t>
  </si>
  <si>
    <t>Continuous inflow biofiltration swale</t>
  </si>
  <si>
    <t>Compost-amended biofiltration swale</t>
  </si>
  <si>
    <t>Vegetated filter strips</t>
  </si>
  <si>
    <t>Compost-amended vegetated filter strips (CAVFS)</t>
  </si>
  <si>
    <t>Media filter drains (MFD)</t>
  </si>
  <si>
    <t>Basic and large sand filter basins</t>
  </si>
  <si>
    <t>Sand filter vaults</t>
  </si>
  <si>
    <t>Linear sand filters</t>
  </si>
  <si>
    <t>Wet ponds – basic and large</t>
  </si>
  <si>
    <t>Wet vaults</t>
  </si>
  <si>
    <t>Stormwater treatment wetlands</t>
  </si>
  <si>
    <t>Combined detention and wet pond</t>
  </si>
  <si>
    <t>Combined detention and wet vault</t>
  </si>
  <si>
    <t>Combined detention and stormwater wetland</t>
  </si>
  <si>
    <t>American Petroleum Institute (API baffle type) oil/water separator</t>
  </si>
  <si>
    <t>Coalescing plate (CP) oil/water separator</t>
  </si>
  <si>
    <t>Non-infiltrating Soil Cell Bioretention</t>
  </si>
  <si>
    <t>Infiltrating Soil Cell Bioretention</t>
  </si>
  <si>
    <t>Drywells</t>
  </si>
  <si>
    <t>Infiltration trenches</t>
  </si>
  <si>
    <t>Permeable pavement surfaces</t>
  </si>
  <si>
    <t>Detention vaults/chambers</t>
  </si>
  <si>
    <t>Pre-Sized Flow Control</t>
  </si>
  <si>
    <t>Pre-Sized WQ</t>
  </si>
  <si>
    <t>Table 5.23. Pre-sized Sizing Factors and Equations for Infiltrating Bioretention with Underdrains.</t>
  </si>
  <si>
    <t>Performance Standard(s)</t>
  </si>
  <si>
    <t>Note pre-sizing not be used within the public right-of-way.</t>
  </si>
  <si>
    <t>Water Quality Treatment Standard</t>
  </si>
  <si>
    <t>Pre-developed Pasture and Water Quality Treatment Standards</t>
  </si>
  <si>
    <t>Peak Control and Water Quality Treatment Standards</t>
  </si>
  <si>
    <t>Pre-developed Pasture, Peak Control, and Water Quality Treatment Standards</t>
  </si>
  <si>
    <t>Pre-Sizing not provided for 2-inch ponding for Peak Control Standard</t>
  </si>
  <si>
    <t>Orifice</t>
  </si>
  <si>
    <t>Area range</t>
  </si>
  <si>
    <t>Residential Cisterns</t>
  </si>
  <si>
    <t>PGHS Area</t>
  </si>
  <si>
    <t>PGHS - pollution generating hard surface</t>
  </si>
  <si>
    <t>Total PGHS Area Managed</t>
  </si>
  <si>
    <t>PGHS Area Managed</t>
  </si>
  <si>
    <t>Total New Plus Replaced PGHS Area</t>
  </si>
  <si>
    <t>New Plus Replaced Pollution Generating Hard Surface (PGHS) Area</t>
  </si>
  <si>
    <t>Water Quality Treatment Standard Achieved</t>
  </si>
  <si>
    <t>Water Quality Treatment Standard Achieved?</t>
  </si>
  <si>
    <r>
      <t>Infiltration Trench</t>
    </r>
    <r>
      <rPr>
        <vertAlign val="superscript"/>
        <sz val="9"/>
        <color theme="1"/>
        <rFont val="Calibri"/>
        <family val="2"/>
        <scheme val="minor"/>
      </rPr>
      <t>3</t>
    </r>
  </si>
  <si>
    <t xml:space="preserve">3.  In order to meet the Water Quality Treatment Standard using infiltration trenches, permeable pavement facilities, or permeable pavement surfaces, the underlying soil must meet the treatment soil requirements outlined in Volume 3, Section 4.5.2 of the Seattle Stormwater Manual or a water quality treatment course must be added below the reservoir aggregate per the requirements for each BMP.  </t>
  </si>
  <si>
    <r>
      <t>Permeable Pavement Surface</t>
    </r>
    <r>
      <rPr>
        <vertAlign val="superscript"/>
        <sz val="9"/>
        <color theme="1"/>
        <rFont val="Calibri"/>
        <family val="2"/>
        <scheme val="minor"/>
      </rPr>
      <t>3</t>
    </r>
  </si>
  <si>
    <r>
      <t>Infiltrating Bioretention without Underdrain</t>
    </r>
    <r>
      <rPr>
        <vertAlign val="superscript"/>
        <sz val="9"/>
        <color theme="1"/>
        <rFont val="Calibri"/>
        <family val="2"/>
        <scheme val="minor"/>
      </rPr>
      <t>4</t>
    </r>
  </si>
  <si>
    <r>
      <t>Infiltrating Bioretention with Underdrain</t>
    </r>
    <r>
      <rPr>
        <vertAlign val="superscript"/>
        <sz val="9"/>
        <color theme="1"/>
        <rFont val="Calibri"/>
        <family val="2"/>
        <scheme val="minor"/>
      </rPr>
      <t>4</t>
    </r>
  </si>
  <si>
    <t>4.  Infiltrating bioretention is not permitted within 1/4 mile of nutrient-critical receiving waters (i.e. Green Lake) if the underlying soil does not meet the soil requirements outlined in Section 4.5.2 unless High Performance Bioretention Soil Mix (HPBSM) and a polishing layer are used.</t>
  </si>
  <si>
    <r>
      <t>Non-Infiltrating Bioretention with Underdrain</t>
    </r>
    <r>
      <rPr>
        <vertAlign val="superscript"/>
        <sz val="9"/>
        <color theme="1"/>
        <rFont val="Calibri"/>
        <family val="2"/>
        <scheme val="minor"/>
      </rPr>
      <t>5</t>
    </r>
  </si>
  <si>
    <r>
      <t>Non-Infiltrating Soil Cell Bioretention with Underdrain</t>
    </r>
    <r>
      <rPr>
        <vertAlign val="superscript"/>
        <sz val="9"/>
        <color theme="1"/>
        <rFont val="Calibri"/>
        <family val="2"/>
        <scheme val="minor"/>
      </rPr>
      <t>5</t>
    </r>
  </si>
  <si>
    <t>5.  Non-infiltrating bioretention is not permitted if the underdrained water would be routed to a nutrient-critical receiving water (i.e. directly to Green Lake) unless using the optional High Performance Bioretention Soil Media (HPBSM) and polishing layer.</t>
  </si>
  <si>
    <t>Infiltrating Soil Cell Bioretention with Underdrain4</t>
  </si>
  <si>
    <t>Infiltration Trench3</t>
  </si>
  <si>
    <t>Permeable Pavement Surface3</t>
  </si>
  <si>
    <t>Non-Infiltrating Bioretention with Underdrain5</t>
  </si>
  <si>
    <t>Non-Infiltrating Soil Cell Bioretention with Underdrain5</t>
  </si>
  <si>
    <t>Infiltrating Bioretention without Underdrain4</t>
  </si>
  <si>
    <t>Infiltrating Bioretention with Underdrain4</t>
  </si>
  <si>
    <t>Infiltrating Soil Cell Bioretention without Underdrain4</t>
  </si>
  <si>
    <t>Facility size shall not be larger than prescribed. Performance diminishes in larger facilities.</t>
  </si>
  <si>
    <r>
      <t>Permeable Pavement Facility (PPF)</t>
    </r>
    <r>
      <rPr>
        <vertAlign val="superscript"/>
        <sz val="9"/>
        <color theme="1"/>
        <rFont val="Calibri"/>
        <family val="2"/>
        <scheme val="minor"/>
      </rPr>
      <t>3</t>
    </r>
  </si>
  <si>
    <t>Permeable Pavement Facility (PPF)3</t>
  </si>
  <si>
    <t>PPF Area</t>
  </si>
  <si>
    <t>Cannot achieve the FC standard unless orifice controls are used.</t>
  </si>
  <si>
    <t>Sizing factors not provided for 2-inch ponding and vertical sideslopes for Peak Control Standard</t>
  </si>
  <si>
    <t>Cannot achieve FC standard unless orifice controls are used.</t>
  </si>
  <si>
    <r>
      <t xml:space="preserve">Infiltrating </t>
    </r>
    <r>
      <rPr>
        <b/>
        <u/>
        <sz val="9"/>
        <color theme="1"/>
        <rFont val="Calibri"/>
        <family val="2"/>
        <scheme val="minor"/>
      </rPr>
      <t>Soil Cell</t>
    </r>
    <r>
      <rPr>
        <b/>
        <sz val="9"/>
        <color theme="1"/>
        <rFont val="Calibri"/>
        <family val="2"/>
        <scheme val="minor"/>
      </rPr>
      <t xml:space="preserve"> Bioretention without Underdrain</t>
    </r>
    <r>
      <rPr>
        <vertAlign val="superscript"/>
        <sz val="9"/>
        <color theme="1"/>
        <rFont val="Calibri"/>
        <family val="2"/>
        <scheme val="minor"/>
      </rPr>
      <t>4</t>
    </r>
  </si>
  <si>
    <t>Cannot achieve FC standard unless orfice controls are used</t>
  </si>
  <si>
    <r>
      <t xml:space="preserve">Infiltrating </t>
    </r>
    <r>
      <rPr>
        <b/>
        <u/>
        <sz val="9"/>
        <color theme="1"/>
        <rFont val="Calibri"/>
        <family val="2"/>
        <scheme val="minor"/>
      </rPr>
      <t>Soil Cell</t>
    </r>
    <r>
      <rPr>
        <b/>
        <sz val="9"/>
        <color theme="1"/>
        <rFont val="Calibri"/>
        <family val="2"/>
        <scheme val="minor"/>
      </rPr>
      <t xml:space="preserve"> Bioretention with Underdrain</t>
    </r>
    <r>
      <rPr>
        <vertAlign val="superscript"/>
        <sz val="9"/>
        <color theme="1"/>
        <rFont val="Calibri"/>
        <family val="2"/>
        <scheme val="minor"/>
      </rPr>
      <t>4</t>
    </r>
  </si>
  <si>
    <t>Pre-Sized Flow Control and Water Quality Calculator</t>
  </si>
  <si>
    <t>City of Seattle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</si>
</sst>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25" x14ac:knownFonts="1">
    <font>
      <sz val="11"/>
      <color theme="1"/>
      <name val="Calibri"/>
      <family val="2"/>
      <scheme val="minor"/>
    </font>
    <font>
      <sz val="11"/>
      <color theme="1"/>
      <name val="Calibri"/>
      <family val="2"/>
      <scheme val="minor"/>
    </font>
    <font>
      <sz val="8"/>
      <color theme="1"/>
      <name val="Calibri"/>
      <family val="2"/>
      <scheme val="minor"/>
    </font>
    <font>
      <b/>
      <sz val="9"/>
      <color theme="1"/>
      <name val="Calibri"/>
      <family val="2"/>
      <scheme val="minor"/>
    </font>
    <font>
      <sz val="9"/>
      <color theme="1"/>
      <name val="Calibri"/>
      <family val="2"/>
      <scheme val="minor"/>
    </font>
    <font>
      <b/>
      <u/>
      <sz val="9"/>
      <color theme="1"/>
      <name val="Calibri"/>
      <family val="2"/>
      <scheme val="minor"/>
    </font>
    <font>
      <b/>
      <sz val="8"/>
      <color theme="1"/>
      <name val="Calibri"/>
      <family val="2"/>
      <scheme val="minor"/>
    </font>
    <font>
      <b/>
      <sz val="11"/>
      <name val="Calibri"/>
      <family val="2"/>
      <scheme val="minor"/>
    </font>
    <font>
      <sz val="10"/>
      <name val="Arial"/>
      <family val="2"/>
    </font>
    <font>
      <sz val="11"/>
      <name val="Calibri"/>
      <family val="2"/>
      <scheme val="minor"/>
    </font>
    <font>
      <sz val="9"/>
      <color rgb="FFFF0000"/>
      <name val="Calibri"/>
      <family val="2"/>
      <scheme val="minor"/>
    </font>
    <font>
      <sz val="8"/>
      <color rgb="FFFF5050"/>
      <name val="Calibri"/>
      <family val="2"/>
      <scheme val="minor"/>
    </font>
    <font>
      <sz val="8"/>
      <color rgb="FFFF0000"/>
      <name val="Calibri"/>
      <family val="2"/>
      <scheme val="minor"/>
    </font>
    <font>
      <sz val="9"/>
      <name val="Calibri"/>
      <family val="2"/>
      <scheme val="minor"/>
    </font>
    <font>
      <i/>
      <sz val="9"/>
      <color rgb="FFFF5050"/>
      <name val="Calibri"/>
      <family val="2"/>
      <scheme val="minor"/>
    </font>
    <font>
      <vertAlign val="superscript"/>
      <sz val="9"/>
      <name val="Calibri"/>
      <family val="2"/>
      <scheme val="minor"/>
    </font>
    <font>
      <b/>
      <sz val="9"/>
      <name val="Calibri"/>
      <family val="2"/>
      <scheme val="minor"/>
    </font>
    <font>
      <sz val="8"/>
      <name val="Calibri"/>
      <family val="2"/>
      <scheme val="minor"/>
    </font>
    <font>
      <vertAlign val="superscript"/>
      <sz val="8"/>
      <name val="Calibri"/>
      <family val="2"/>
      <scheme val="minor"/>
    </font>
    <font>
      <u/>
      <sz val="8"/>
      <color theme="1"/>
      <name val="Calibri"/>
      <family val="2"/>
      <scheme val="minor"/>
    </font>
    <font>
      <b/>
      <sz val="10"/>
      <color theme="1"/>
      <name val="Arial"/>
      <family val="2"/>
    </font>
    <font>
      <u/>
      <sz val="8"/>
      <name val="Calibri"/>
      <family val="2"/>
      <scheme val="minor"/>
    </font>
    <font>
      <sz val="8"/>
      <color rgb="FF000000"/>
      <name val="Segoe UI"/>
      <family val="2"/>
    </font>
    <font>
      <sz val="9"/>
      <color rgb="FFFF5050"/>
      <name val="Calibri"/>
      <family val="2"/>
      <scheme val="minor"/>
    </font>
    <font>
      <vertAlign val="superscript"/>
      <sz val="9"/>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7" tint="0.59999389629810485"/>
        <bgColor indexed="64"/>
      </patternFill>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9" fontId="1" fillId="0" borderId="0" applyFont="0" applyFill="0" applyBorder="0" applyAlignment="0" applyProtection="0"/>
    <xf numFmtId="0" fontId="8" fillId="0" borderId="0"/>
    <xf numFmtId="43" fontId="1" fillId="0" borderId="0" applyFont="0" applyFill="0" applyBorder="0" applyAlignment="0" applyProtection="0"/>
  </cellStyleXfs>
  <cellXfs count="209">
    <xf numFmtId="0" fontId="0" fillId="0" borderId="0" xfId="0"/>
    <xf numFmtId="0" fontId="2" fillId="2" borderId="0" xfId="0" applyFont="1" applyFill="1" applyAlignment="1">
      <alignment horizontal="left"/>
    </xf>
    <xf numFmtId="0" fontId="4" fillId="0" borderId="0" xfId="0" applyFont="1"/>
    <xf numFmtId="0" fontId="4" fillId="2" borderId="1" xfId="0" applyFont="1" applyFill="1" applyBorder="1"/>
    <xf numFmtId="0" fontId="4" fillId="2" borderId="2" xfId="0" applyFont="1" applyFill="1" applyBorder="1"/>
    <xf numFmtId="0" fontId="4" fillId="2" borderId="3" xfId="0" applyFont="1" applyFill="1" applyBorder="1"/>
    <xf numFmtId="0" fontId="4" fillId="2" borderId="7" xfId="0" applyFont="1" applyFill="1" applyBorder="1"/>
    <xf numFmtId="0" fontId="4" fillId="2" borderId="0" xfId="0" applyFont="1" applyFill="1"/>
    <xf numFmtId="0" fontId="4" fillId="2" borderId="8" xfId="0" applyFont="1" applyFill="1" applyBorder="1"/>
    <xf numFmtId="0" fontId="4" fillId="2" borderId="0" xfId="0" applyFont="1" applyFill="1" applyAlignment="1">
      <alignment horizontal="left"/>
    </xf>
    <xf numFmtId="0" fontId="4" fillId="2" borderId="4" xfId="0" applyFont="1" applyFill="1" applyBorder="1"/>
    <xf numFmtId="0" fontId="4" fillId="2" borderId="5" xfId="0" applyFont="1" applyFill="1" applyBorder="1"/>
    <xf numFmtId="0" fontId="4" fillId="2" borderId="6" xfId="0" applyFont="1" applyFill="1" applyBorder="1"/>
    <xf numFmtId="0" fontId="5" fillId="2" borderId="0" xfId="0" applyFont="1" applyFill="1"/>
    <xf numFmtId="0" fontId="3" fillId="2" borderId="0" xfId="0" applyFont="1" applyFill="1"/>
    <xf numFmtId="0" fontId="4" fillId="2" borderId="0" xfId="0" applyFont="1" applyFill="1" applyAlignment="1">
      <alignment horizontal="right"/>
    </xf>
    <xf numFmtId="0" fontId="4" fillId="2" borderId="0" xfId="0" applyFont="1" applyFill="1" applyAlignment="1">
      <alignment horizontal="center"/>
    </xf>
    <xf numFmtId="0" fontId="3" fillId="2" borderId="5" xfId="0" applyFont="1" applyFill="1" applyBorder="1"/>
    <xf numFmtId="0" fontId="2" fillId="2" borderId="7" xfId="0" applyFont="1" applyFill="1" applyBorder="1"/>
    <xf numFmtId="0" fontId="2" fillId="2" borderId="0" xfId="0" applyFont="1" applyFill="1"/>
    <xf numFmtId="0" fontId="6" fillId="2" borderId="0" xfId="0" applyFont="1" applyFill="1"/>
    <xf numFmtId="0" fontId="2" fillId="2" borderId="0" xfId="0" applyFont="1" applyFill="1" applyAlignment="1">
      <alignment horizontal="right"/>
    </xf>
    <xf numFmtId="0" fontId="2" fillId="2" borderId="0" xfId="0" applyFont="1" applyFill="1" applyAlignment="1">
      <alignment horizontal="center"/>
    </xf>
    <xf numFmtId="0" fontId="2" fillId="2" borderId="8" xfId="0" applyFont="1" applyFill="1" applyBorder="1"/>
    <xf numFmtId="0" fontId="2" fillId="0" borderId="0" xfId="0" applyFont="1"/>
    <xf numFmtId="0" fontId="3" fillId="2" borderId="2" xfId="0" applyFont="1" applyFill="1" applyBorder="1"/>
    <xf numFmtId="0" fontId="9" fillId="0" borderId="0" xfId="0" applyFont="1" applyAlignment="1">
      <alignment horizontal="left" vertical="center"/>
    </xf>
    <xf numFmtId="0" fontId="9" fillId="0" borderId="0" xfId="0" applyFont="1" applyAlignment="1">
      <alignment vertical="center"/>
    </xf>
    <xf numFmtId="164" fontId="9" fillId="0" borderId="0" xfId="0" applyNumberFormat="1" applyFont="1" applyAlignment="1">
      <alignment vertical="center"/>
    </xf>
    <xf numFmtId="0" fontId="9" fillId="0" borderId="0" xfId="0" applyFont="1" applyAlignment="1">
      <alignment vertical="center" wrapText="1"/>
    </xf>
    <xf numFmtId="0" fontId="9" fillId="0" borderId="5" xfId="0" applyFont="1" applyBorder="1" applyAlignment="1">
      <alignment vertical="center" wrapText="1"/>
    </xf>
    <xf numFmtId="164" fontId="9" fillId="0" borderId="5" xfId="0" applyNumberFormat="1" applyFont="1" applyBorder="1" applyAlignment="1">
      <alignment vertical="center"/>
    </xf>
    <xf numFmtId="0" fontId="9" fillId="0" borderId="5" xfId="0" applyFont="1" applyBorder="1" applyAlignment="1">
      <alignment horizontal="left" vertical="center"/>
    </xf>
    <xf numFmtId="0" fontId="9" fillId="0" borderId="5" xfId="0" applyFont="1" applyBorder="1" applyAlignment="1">
      <alignment vertical="center"/>
    </xf>
    <xf numFmtId="0" fontId="7" fillId="0" borderId="5" xfId="0" applyFont="1" applyBorder="1" applyAlignment="1">
      <alignment horizontal="center" wrapText="1"/>
    </xf>
    <xf numFmtId="9" fontId="2" fillId="2" borderId="0" xfId="1" applyFont="1" applyFill="1" applyBorder="1" applyAlignment="1">
      <alignment wrapText="1"/>
    </xf>
    <xf numFmtId="0" fontId="3" fillId="0" borderId="0" xfId="0" applyFont="1"/>
    <xf numFmtId="0" fontId="2" fillId="0" borderId="0" xfId="0" applyFont="1" applyAlignment="1">
      <alignment horizontal="center"/>
    </xf>
    <xf numFmtId="3" fontId="2" fillId="0" borderId="0" xfId="3" applyNumberFormat="1" applyFont="1" applyFill="1" applyAlignment="1">
      <alignment horizontal="center"/>
    </xf>
    <xf numFmtId="0" fontId="9" fillId="0" borderId="2" xfId="0" applyFont="1" applyBorder="1" applyAlignment="1">
      <alignment vertical="center"/>
    </xf>
    <xf numFmtId="0" fontId="9" fillId="0" borderId="2" xfId="0" applyFont="1" applyBorder="1" applyAlignment="1">
      <alignment horizontal="left" vertical="center"/>
    </xf>
    <xf numFmtId="0" fontId="2" fillId="0" borderId="0" xfId="0" applyFont="1" applyAlignment="1">
      <alignment horizontal="left"/>
    </xf>
    <xf numFmtId="0" fontId="9" fillId="0" borderId="2" xfId="0" applyFont="1" applyBorder="1" applyAlignment="1">
      <alignment vertical="center" wrapText="1"/>
    </xf>
    <xf numFmtId="9" fontId="2" fillId="2" borderId="0" xfId="1" applyFont="1" applyFill="1" applyBorder="1" applyAlignment="1">
      <alignment horizontal="center"/>
    </xf>
    <xf numFmtId="0" fontId="7" fillId="0" borderId="9" xfId="0" applyFont="1" applyBorder="1" applyAlignment="1">
      <alignment horizontal="center" wrapText="1"/>
    </xf>
    <xf numFmtId="0" fontId="10" fillId="0" borderId="0" xfId="0" applyFont="1"/>
    <xf numFmtId="0" fontId="10" fillId="2" borderId="8" xfId="0" applyFont="1" applyFill="1" applyBorder="1" applyAlignment="1">
      <alignment horizontal="left" vertical="top" wrapText="1"/>
    </xf>
    <xf numFmtId="0" fontId="6" fillId="0" borderId="0" xfId="0" applyFont="1"/>
    <xf numFmtId="0" fontId="3" fillId="2" borderId="0" xfId="0" applyFont="1" applyFill="1" applyAlignment="1">
      <alignment horizontal="right"/>
    </xf>
    <xf numFmtId="3" fontId="2" fillId="2" borderId="0" xfId="0" applyNumberFormat="1" applyFont="1" applyFill="1"/>
    <xf numFmtId="0" fontId="12" fillId="2" borderId="0" xfId="0" applyFont="1" applyFill="1" applyAlignment="1">
      <alignment vertical="top" wrapText="1"/>
    </xf>
    <xf numFmtId="0" fontId="12" fillId="2" borderId="8" xfId="0" applyFont="1" applyFill="1" applyBorder="1" applyAlignment="1">
      <alignment vertical="top" wrapText="1"/>
    </xf>
    <xf numFmtId="0" fontId="4" fillId="4" borderId="7" xfId="0" applyFont="1" applyFill="1" applyBorder="1"/>
    <xf numFmtId="0" fontId="4" fillId="4" borderId="0" xfId="0" applyFont="1" applyFill="1"/>
    <xf numFmtId="0" fontId="4" fillId="4" borderId="8" xfId="0" applyFont="1" applyFill="1" applyBorder="1"/>
    <xf numFmtId="0" fontId="4" fillId="4" borderId="4" xfId="0" applyFont="1" applyFill="1" applyBorder="1"/>
    <xf numFmtId="0" fontId="4" fillId="4" borderId="5" xfId="0" applyFont="1" applyFill="1" applyBorder="1"/>
    <xf numFmtId="0" fontId="4" fillId="4" borderId="6" xfId="0" applyFont="1" applyFill="1" applyBorder="1"/>
    <xf numFmtId="0" fontId="3" fillId="4" borderId="7" xfId="0" applyFont="1" applyFill="1" applyBorder="1"/>
    <xf numFmtId="0" fontId="3" fillId="4" borderId="0" xfId="0" applyFont="1" applyFill="1"/>
    <xf numFmtId="0" fontId="3" fillId="4" borderId="8" xfId="0" applyFont="1" applyFill="1" applyBorder="1"/>
    <xf numFmtId="0" fontId="3" fillId="4" borderId="2" xfId="0" applyFont="1" applyFill="1" applyBorder="1"/>
    <xf numFmtId="0" fontId="3" fillId="4" borderId="3" xfId="0" applyFont="1" applyFill="1" applyBorder="1"/>
    <xf numFmtId="0" fontId="2" fillId="2" borderId="0" xfId="1" applyNumberFormat="1" applyFont="1" applyFill="1" applyBorder="1" applyAlignment="1">
      <alignment wrapText="1"/>
    </xf>
    <xf numFmtId="0" fontId="10" fillId="2" borderId="0" xfId="0" applyFont="1" applyFill="1"/>
    <xf numFmtId="0" fontId="4" fillId="4" borderId="3" xfId="0" applyFont="1" applyFill="1" applyBorder="1"/>
    <xf numFmtId="0" fontId="10" fillId="4" borderId="0" xfId="0" applyFont="1" applyFill="1"/>
    <xf numFmtId="0" fontId="7" fillId="0" borderId="0" xfId="0" applyFont="1" applyAlignment="1">
      <alignment horizontal="center" wrapText="1"/>
    </xf>
    <xf numFmtId="0" fontId="12" fillId="2" borderId="0" xfId="0" applyFont="1" applyFill="1" applyAlignment="1">
      <alignment horizontal="center" vertical="center"/>
    </xf>
    <xf numFmtId="0" fontId="12" fillId="2" borderId="0" xfId="0" applyFont="1" applyFill="1" applyAlignment="1">
      <alignment vertical="center"/>
    </xf>
    <xf numFmtId="0" fontId="12" fillId="2" borderId="0" xfId="0" applyFont="1" applyFill="1" applyAlignment="1">
      <alignment horizontal="right" vertical="center"/>
    </xf>
    <xf numFmtId="14" fontId="9" fillId="4" borderId="5" xfId="0" applyNumberFormat="1" applyFont="1" applyFill="1" applyBorder="1"/>
    <xf numFmtId="14" fontId="9" fillId="4" borderId="6" xfId="0" applyNumberFormat="1" applyFont="1" applyFill="1" applyBorder="1"/>
    <xf numFmtId="0" fontId="13" fillId="2" borderId="0" xfId="0" applyFont="1" applyFill="1"/>
    <xf numFmtId="0" fontId="16" fillId="4" borderId="7" xfId="0" applyFont="1" applyFill="1" applyBorder="1"/>
    <xf numFmtId="0" fontId="16" fillId="4" borderId="1" xfId="0" applyFont="1" applyFill="1" applyBorder="1"/>
    <xf numFmtId="0" fontId="17" fillId="2" borderId="0" xfId="0" applyFont="1" applyFill="1"/>
    <xf numFmtId="0" fontId="17" fillId="2" borderId="0" xfId="0" applyFont="1" applyFill="1" applyAlignment="1">
      <alignment horizontal="left"/>
    </xf>
    <xf numFmtId="0" fontId="16" fillId="0" borderId="0" xfId="0" applyFont="1"/>
    <xf numFmtId="0" fontId="17" fillId="2" borderId="0" xfId="0" applyFont="1" applyFill="1" applyAlignment="1">
      <alignment vertical="center"/>
    </xf>
    <xf numFmtId="0" fontId="17" fillId="2" borderId="0" xfId="0" applyFont="1" applyFill="1" applyAlignment="1">
      <alignment horizontal="right" vertical="center"/>
    </xf>
    <xf numFmtId="0" fontId="17" fillId="2" borderId="0" xfId="0" applyFont="1" applyFill="1" applyAlignment="1">
      <alignment horizontal="center" vertical="center"/>
    </xf>
    <xf numFmtId="0" fontId="13" fillId="2" borderId="2" xfId="0" applyFont="1" applyFill="1" applyBorder="1"/>
    <xf numFmtId="0" fontId="16" fillId="2" borderId="0" xfId="0" applyFont="1" applyFill="1" applyAlignment="1">
      <alignment horizontal="right"/>
    </xf>
    <xf numFmtId="0" fontId="13" fillId="2" borderId="5" xfId="0" applyFont="1" applyFill="1" applyBorder="1"/>
    <xf numFmtId="0" fontId="13" fillId="4" borderId="0" xfId="0" applyFont="1" applyFill="1"/>
    <xf numFmtId="0" fontId="17" fillId="0" borderId="0" xfId="0" applyFont="1"/>
    <xf numFmtId="0" fontId="17" fillId="0" borderId="0" xfId="0" applyFont="1" applyAlignment="1">
      <alignment horizontal="center"/>
    </xf>
    <xf numFmtId="3" fontId="17" fillId="0" borderId="0" xfId="3" applyNumberFormat="1" applyFont="1" applyFill="1" applyAlignment="1">
      <alignment horizontal="center"/>
    </xf>
    <xf numFmtId="0" fontId="17" fillId="0" borderId="0" xfId="0" applyFont="1" applyAlignment="1">
      <alignment horizontal="left"/>
    </xf>
    <xf numFmtId="0" fontId="13" fillId="0" borderId="0" xfId="0" applyFont="1"/>
    <xf numFmtId="0" fontId="11" fillId="2" borderId="0" xfId="0" applyFont="1" applyFill="1"/>
    <xf numFmtId="0" fontId="11" fillId="2" borderId="5" xfId="0" applyFont="1" applyFill="1" applyBorder="1" applyAlignment="1">
      <alignment vertical="top" wrapText="1"/>
    </xf>
    <xf numFmtId="0" fontId="2" fillId="2" borderId="0" xfId="0" applyFont="1" applyFill="1" applyAlignment="1">
      <alignment vertical="top" wrapText="1"/>
    </xf>
    <xf numFmtId="0" fontId="9" fillId="0" borderId="0" xfId="0" applyFont="1"/>
    <xf numFmtId="0" fontId="9" fillId="0" borderId="2" xfId="0" applyFont="1" applyBorder="1"/>
    <xf numFmtId="0" fontId="7" fillId="0" borderId="5" xfId="0" applyFont="1" applyBorder="1"/>
    <xf numFmtId="0" fontId="9" fillId="0" borderId="5" xfId="0" applyFont="1" applyBorder="1"/>
    <xf numFmtId="0" fontId="9" fillId="0" borderId="0" xfId="0" applyFont="1" applyAlignment="1">
      <alignment horizontal="left"/>
    </xf>
    <xf numFmtId="0" fontId="9" fillId="0" borderId="5" xfId="0" applyFont="1" applyBorder="1" applyAlignment="1">
      <alignment horizontal="left"/>
    </xf>
    <xf numFmtId="0" fontId="9" fillId="0" borderId="2" xfId="0" applyFont="1" applyBorder="1" applyAlignment="1">
      <alignment horizontal="left"/>
    </xf>
    <xf numFmtId="0" fontId="9" fillId="0" borderId="9" xfId="0" applyFont="1" applyBorder="1" applyAlignment="1">
      <alignment wrapText="1"/>
    </xf>
    <xf numFmtId="0" fontId="7" fillId="0" borderId="0" xfId="0" applyFont="1"/>
    <xf numFmtId="0" fontId="9" fillId="0" borderId="5" xfId="0" applyFont="1" applyBorder="1" applyAlignment="1">
      <alignment horizontal="center"/>
    </xf>
    <xf numFmtId="0" fontId="9" fillId="0" borderId="0" xfId="1" applyNumberFormat="1" applyFont="1" applyFill="1" applyBorder="1" applyAlignment="1">
      <alignment horizontal="center"/>
    </xf>
    <xf numFmtId="0" fontId="9" fillId="0" borderId="0" xfId="0" applyFont="1" applyAlignment="1">
      <alignment horizontal="center"/>
    </xf>
    <xf numFmtId="0" fontId="9" fillId="0" borderId="5" xfId="1" applyNumberFormat="1" applyFont="1" applyFill="1" applyBorder="1" applyAlignment="1">
      <alignment horizontal="center"/>
    </xf>
    <xf numFmtId="10" fontId="9" fillId="0" borderId="0" xfId="1" quotePrefix="1" applyNumberFormat="1" applyFont="1" applyFill="1" applyBorder="1" applyAlignment="1">
      <alignment horizontal="center" vertical="center"/>
    </xf>
    <xf numFmtId="10" fontId="9" fillId="0" borderId="5" xfId="1" quotePrefix="1" applyNumberFormat="1" applyFont="1" applyFill="1" applyBorder="1" applyAlignment="1">
      <alignment horizontal="center" vertical="center"/>
    </xf>
    <xf numFmtId="0" fontId="9" fillId="0" borderId="0" xfId="1" applyNumberFormat="1" applyFont="1" applyFill="1" applyBorder="1" applyAlignment="1">
      <alignment horizontal="center" vertical="center"/>
    </xf>
    <xf numFmtId="0" fontId="9" fillId="0" borderId="2" xfId="0" applyFont="1" applyBorder="1" applyAlignment="1">
      <alignment horizontal="center"/>
    </xf>
    <xf numFmtId="0" fontId="9" fillId="0" borderId="0" xfId="0" applyFont="1" applyAlignment="1">
      <alignment horizontal="center" vertical="center"/>
    </xf>
    <xf numFmtId="0" fontId="9" fillId="0" borderId="5" xfId="0" applyFont="1" applyBorder="1" applyAlignment="1">
      <alignment horizontal="center" vertical="center"/>
    </xf>
    <xf numFmtId="0" fontId="9" fillId="0" borderId="9" xfId="0" applyFont="1" applyBorder="1"/>
    <xf numFmtId="0" fontId="9" fillId="0" borderId="2" xfId="0" applyFont="1" applyBorder="1" applyAlignment="1">
      <alignment horizontal="center" vertical="center"/>
    </xf>
    <xf numFmtId="0" fontId="9" fillId="5" borderId="0" xfId="0" applyFont="1" applyFill="1" applyAlignment="1">
      <alignment horizontal="center"/>
    </xf>
    <xf numFmtId="0" fontId="9" fillId="5" borderId="5" xfId="0" applyFont="1" applyFill="1" applyBorder="1" applyAlignment="1">
      <alignment horizontal="center"/>
    </xf>
    <xf numFmtId="0" fontId="9" fillId="5" borderId="0" xfId="0" applyFont="1" applyFill="1"/>
    <xf numFmtId="0" fontId="9" fillId="5" borderId="5" xfId="0" applyFont="1" applyFill="1" applyBorder="1"/>
    <xf numFmtId="0" fontId="9" fillId="5" borderId="2" xfId="0" applyFont="1" applyFill="1" applyBorder="1"/>
    <xf numFmtId="0" fontId="9" fillId="5" borderId="2" xfId="0" applyFont="1" applyFill="1" applyBorder="1" applyAlignment="1">
      <alignment horizontal="center"/>
    </xf>
    <xf numFmtId="0" fontId="19" fillId="0" borderId="0" xfId="0" applyFont="1"/>
    <xf numFmtId="0" fontId="19" fillId="0" borderId="0" xfId="0" applyFont="1" applyAlignment="1">
      <alignment horizontal="center"/>
    </xf>
    <xf numFmtId="0" fontId="2" fillId="2" borderId="0" xfId="0" applyFont="1" applyFill="1" applyAlignment="1">
      <alignment horizontal="left" vertical="top" wrapText="1"/>
    </xf>
    <xf numFmtId="0" fontId="0" fillId="0" borderId="0" xfId="0" applyAlignment="1">
      <alignment horizontal="center"/>
    </xf>
    <xf numFmtId="0" fontId="0" fillId="0" borderId="10" xfId="0" applyBorder="1" applyAlignment="1">
      <alignment horizontal="center"/>
    </xf>
    <xf numFmtId="0" fontId="0" fillId="0" borderId="10" xfId="0" applyBorder="1"/>
    <xf numFmtId="0" fontId="0" fillId="0" borderId="11" xfId="0" applyBorder="1"/>
    <xf numFmtId="0" fontId="9" fillId="5" borderId="0" xfId="1" applyNumberFormat="1" applyFont="1" applyFill="1" applyBorder="1" applyAlignment="1">
      <alignment horizontal="center"/>
    </xf>
    <xf numFmtId="0" fontId="9" fillId="5" borderId="5" xfId="1" applyNumberFormat="1" applyFont="1" applyFill="1" applyBorder="1" applyAlignment="1">
      <alignment horizontal="center"/>
    </xf>
    <xf numFmtId="0" fontId="9" fillId="5" borderId="5" xfId="0" applyFont="1" applyFill="1" applyBorder="1" applyAlignment="1">
      <alignment horizontal="center" vertical="center"/>
    </xf>
    <xf numFmtId="0" fontId="9" fillId="5" borderId="0" xfId="0" applyFont="1" applyFill="1" applyAlignment="1">
      <alignment horizontal="center" vertical="center"/>
    </xf>
    <xf numFmtId="0" fontId="0" fillId="0" borderId="12" xfId="0" applyBorder="1"/>
    <xf numFmtId="0" fontId="0" fillId="0" borderId="13" xfId="0" applyBorder="1"/>
    <xf numFmtId="0" fontId="0" fillId="0" borderId="13" xfId="0" applyBorder="1" applyAlignment="1">
      <alignment horizontal="center"/>
    </xf>
    <xf numFmtId="0" fontId="0" fillId="0" borderId="14" xfId="0" applyBorder="1"/>
    <xf numFmtId="0" fontId="0" fillId="0" borderId="15" xfId="0" applyBorder="1" applyAlignment="1">
      <alignment horizontal="center"/>
    </xf>
    <xf numFmtId="0" fontId="0" fillId="0" borderId="16" xfId="0" applyBorder="1"/>
    <xf numFmtId="0" fontId="0" fillId="0" borderId="17" xfId="0" applyBorder="1"/>
    <xf numFmtId="0" fontId="0" fillId="0" borderId="18" xfId="0" applyBorder="1"/>
    <xf numFmtId="0" fontId="0" fillId="0" borderId="19" xfId="0" applyBorder="1"/>
    <xf numFmtId="0" fontId="0" fillId="0" borderId="19" xfId="0" applyBorder="1" applyAlignment="1">
      <alignment horizontal="center"/>
    </xf>
    <xf numFmtId="0" fontId="0" fillId="0" borderId="20" xfId="0" applyBorder="1"/>
    <xf numFmtId="0" fontId="0" fillId="0" borderId="21" xfId="0" applyBorder="1" applyAlignment="1">
      <alignment horizontal="center"/>
    </xf>
    <xf numFmtId="0" fontId="0" fillId="0" borderId="11" xfId="0" applyBorder="1" applyAlignment="1">
      <alignment horizontal="center"/>
    </xf>
    <xf numFmtId="0" fontId="0" fillId="0" borderId="22" xfId="0" applyBorder="1" applyAlignment="1">
      <alignment horizontal="center"/>
    </xf>
    <xf numFmtId="0" fontId="0" fillId="0" borderId="15" xfId="0" applyBorder="1"/>
    <xf numFmtId="0" fontId="0" fillId="0" borderId="21" xfId="0" applyBorder="1"/>
    <xf numFmtId="0" fontId="0" fillId="0" borderId="17" xfId="0" applyBorder="1" applyAlignment="1">
      <alignment horizontal="center"/>
    </xf>
    <xf numFmtId="0" fontId="0" fillId="0" borderId="23" xfId="0" applyBorder="1"/>
    <xf numFmtId="0" fontId="0" fillId="0" borderId="24" xfId="0" applyBorder="1"/>
    <xf numFmtId="0" fontId="0" fillId="0" borderId="24" xfId="0" applyBorder="1" applyAlignment="1">
      <alignment horizontal="center"/>
    </xf>
    <xf numFmtId="0" fontId="0" fillId="0" borderId="25" xfId="0" applyBorder="1"/>
    <xf numFmtId="0" fontId="0" fillId="0" borderId="26" xfId="0" applyBorder="1"/>
    <xf numFmtId="0" fontId="20" fillId="0" borderId="24" xfId="0" applyFont="1" applyBorder="1" applyAlignment="1">
      <alignment horizontal="center" vertical="center" wrapText="1"/>
    </xf>
    <xf numFmtId="0" fontId="20" fillId="0" borderId="26" xfId="0" applyFont="1" applyBorder="1" applyAlignment="1">
      <alignment horizontal="center" vertical="center" wrapText="1"/>
    </xf>
    <xf numFmtId="0" fontId="4" fillId="3" borderId="5" xfId="0" applyFont="1" applyFill="1" applyBorder="1" applyAlignment="1">
      <alignment horizontal="center" vertical="center" wrapText="1"/>
    </xf>
    <xf numFmtId="0" fontId="6" fillId="0" borderId="0" xfId="0" applyFont="1" applyAlignment="1">
      <alignment horizontal="center"/>
    </xf>
    <xf numFmtId="0" fontId="21" fillId="0" borderId="0" xfId="0" applyFont="1" applyAlignment="1">
      <alignment horizontal="center"/>
    </xf>
    <xf numFmtId="0" fontId="21" fillId="0" borderId="0" xfId="0" applyFont="1"/>
    <xf numFmtId="0" fontId="11" fillId="2" borderId="0" xfId="0" applyFont="1" applyFill="1" applyAlignment="1">
      <alignment vertical="top" wrapText="1"/>
    </xf>
    <xf numFmtId="0" fontId="4" fillId="0" borderId="0" xfId="0" applyFont="1" applyProtection="1">
      <protection locked="0"/>
    </xf>
    <xf numFmtId="0" fontId="11" fillId="2" borderId="0" xfId="0" applyFont="1" applyFill="1" applyAlignment="1">
      <alignment horizontal="left"/>
    </xf>
    <xf numFmtId="0" fontId="11" fillId="2" borderId="0" xfId="0" applyFont="1" applyFill="1" applyAlignment="1">
      <alignment horizontal="left" vertical="top" wrapText="1"/>
    </xf>
    <xf numFmtId="0" fontId="23" fillId="2" borderId="0" xfId="0" applyFont="1" applyFill="1"/>
    <xf numFmtId="0" fontId="11" fillId="2" borderId="0" xfId="0" applyFont="1" applyFill="1" applyAlignment="1">
      <alignment vertical="center"/>
    </xf>
    <xf numFmtId="0" fontId="11" fillId="2" borderId="0" xfId="0" applyFont="1" applyFill="1" applyAlignment="1">
      <alignment vertical="top"/>
    </xf>
    <xf numFmtId="9" fontId="2" fillId="2" borderId="0" xfId="1" applyFont="1" applyFill="1" applyBorder="1" applyAlignment="1">
      <alignment horizontal="center" wrapText="1"/>
    </xf>
    <xf numFmtId="3" fontId="2" fillId="2" borderId="0" xfId="0" applyNumberFormat="1" applyFont="1" applyFill="1" applyAlignment="1">
      <alignment horizontal="center"/>
    </xf>
    <xf numFmtId="3" fontId="4" fillId="0" borderId="0" xfId="0" applyNumberFormat="1" applyFont="1"/>
    <xf numFmtId="0" fontId="13" fillId="2" borderId="0" xfId="0" applyFont="1" applyFill="1" applyAlignment="1">
      <alignment horizontal="left" vertical="top" wrapText="1"/>
    </xf>
    <xf numFmtId="0" fontId="11" fillId="2" borderId="0" xfId="0" applyFont="1" applyFill="1" applyAlignment="1">
      <alignment horizontal="left" vertical="top" wrapText="1"/>
    </xf>
    <xf numFmtId="0" fontId="2" fillId="2" borderId="0" xfId="0" applyFont="1" applyFill="1" applyAlignment="1">
      <alignment horizontal="left" wrapText="1"/>
    </xf>
    <xf numFmtId="3" fontId="2" fillId="3" borderId="5" xfId="0" applyNumberFormat="1" applyFont="1" applyFill="1" applyBorder="1" applyAlignment="1" applyProtection="1">
      <alignment horizontal="center"/>
      <protection locked="0"/>
    </xf>
    <xf numFmtId="0" fontId="2" fillId="3" borderId="5" xfId="0" applyFont="1" applyFill="1" applyBorder="1" applyAlignment="1" applyProtection="1">
      <alignment horizontal="center"/>
      <protection locked="0"/>
    </xf>
    <xf numFmtId="0" fontId="4" fillId="2" borderId="5" xfId="0" applyFont="1" applyFill="1" applyBorder="1" applyAlignment="1">
      <alignment horizontal="center" wrapText="1"/>
    </xf>
    <xf numFmtId="9" fontId="2" fillId="2" borderId="0" xfId="1" applyFont="1" applyFill="1" applyBorder="1" applyAlignment="1">
      <alignment horizontal="center" wrapText="1"/>
    </xf>
    <xf numFmtId="9" fontId="2" fillId="2" borderId="5" xfId="1" applyFont="1" applyFill="1" applyBorder="1" applyAlignment="1">
      <alignment horizontal="center" wrapText="1"/>
    </xf>
    <xf numFmtId="0" fontId="11" fillId="2" borderId="0" xfId="0" applyFont="1" applyFill="1" applyAlignment="1">
      <alignment horizontal="left" vertical="center" wrapText="1"/>
    </xf>
    <xf numFmtId="0" fontId="11" fillId="2" borderId="5" xfId="0" applyFont="1" applyFill="1" applyBorder="1" applyAlignment="1">
      <alignment horizontal="left" vertical="center" wrapText="1"/>
    </xf>
    <xf numFmtId="0" fontId="3" fillId="4" borderId="2" xfId="0" applyFont="1" applyFill="1" applyBorder="1" applyAlignment="1">
      <alignment horizontal="center" vertical="center"/>
    </xf>
    <xf numFmtId="0" fontId="3" fillId="4" borderId="2" xfId="0" applyFont="1" applyFill="1" applyBorder="1" applyAlignment="1">
      <alignment horizontal="center"/>
    </xf>
    <xf numFmtId="0" fontId="2" fillId="2" borderId="0" xfId="0" applyFont="1" applyFill="1" applyAlignment="1">
      <alignment horizontal="center"/>
    </xf>
    <xf numFmtId="3" fontId="2" fillId="2" borderId="5" xfId="0" applyNumberFormat="1" applyFont="1" applyFill="1" applyBorder="1" applyAlignment="1">
      <alignment horizontal="center"/>
    </xf>
    <xf numFmtId="9" fontId="2" fillId="2" borderId="5" xfId="1" applyFont="1" applyFill="1" applyBorder="1" applyAlignment="1">
      <alignment horizontal="center"/>
    </xf>
    <xf numFmtId="0" fontId="7" fillId="4" borderId="1" xfId="0" applyFont="1" applyFill="1" applyBorder="1" applyAlignment="1">
      <alignment horizontal="center"/>
    </xf>
    <xf numFmtId="0" fontId="7" fillId="4" borderId="2" xfId="0" applyFont="1" applyFill="1" applyBorder="1" applyAlignment="1">
      <alignment horizontal="center"/>
    </xf>
    <xf numFmtId="0" fontId="7" fillId="4" borderId="3" xfId="0" applyFont="1" applyFill="1" applyBorder="1" applyAlignment="1">
      <alignment horizontal="center"/>
    </xf>
    <xf numFmtId="14" fontId="13" fillId="4" borderId="4" xfId="0" applyNumberFormat="1" applyFont="1" applyFill="1" applyBorder="1" applyAlignment="1">
      <alignment horizontal="left"/>
    </xf>
    <xf numFmtId="14" fontId="13" fillId="4" borderId="5" xfId="0" applyNumberFormat="1" applyFont="1" applyFill="1" applyBorder="1" applyAlignment="1">
      <alignment horizontal="left"/>
    </xf>
    <xf numFmtId="14" fontId="7" fillId="4" borderId="5" xfId="0" applyNumberFormat="1" applyFont="1" applyFill="1" applyBorder="1" applyAlignment="1">
      <alignment horizontal="center"/>
    </xf>
    <xf numFmtId="0" fontId="11" fillId="2" borderId="0" xfId="0" applyFont="1" applyFill="1" applyAlignment="1">
      <alignment horizontal="left"/>
    </xf>
    <xf numFmtId="0" fontId="4" fillId="3" borderId="5" xfId="0" applyFont="1" applyFill="1" applyBorder="1" applyAlignment="1" applyProtection="1">
      <alignment horizontal="center"/>
      <protection locked="0"/>
    </xf>
    <xf numFmtId="3" fontId="4" fillId="3" borderId="5" xfId="0" applyNumberFormat="1" applyFont="1" applyFill="1" applyBorder="1" applyAlignment="1" applyProtection="1">
      <alignment horizontal="center"/>
      <protection locked="0"/>
    </xf>
    <xf numFmtId="0" fontId="2" fillId="2" borderId="5" xfId="0" applyFont="1" applyFill="1" applyBorder="1" applyAlignment="1">
      <alignment horizontal="center"/>
    </xf>
    <xf numFmtId="0" fontId="14" fillId="2" borderId="0" xfId="0" applyFont="1" applyFill="1" applyAlignment="1">
      <alignment horizontal="left" vertical="center"/>
    </xf>
    <xf numFmtId="0" fontId="13" fillId="2" borderId="0" xfId="0" applyFont="1" applyFill="1" applyAlignment="1">
      <alignment horizontal="left" wrapText="1"/>
    </xf>
    <xf numFmtId="3" fontId="2" fillId="2" borderId="0" xfId="0" applyNumberFormat="1" applyFont="1" applyFill="1" applyAlignment="1">
      <alignment horizontal="center"/>
    </xf>
    <xf numFmtId="3" fontId="13" fillId="4" borderId="5" xfId="0" applyNumberFormat="1" applyFont="1" applyFill="1" applyBorder="1" applyAlignment="1">
      <alignment horizontal="center"/>
    </xf>
    <xf numFmtId="0" fontId="13" fillId="4" borderId="5" xfId="0" applyFont="1" applyFill="1" applyBorder="1" applyAlignment="1">
      <alignment horizontal="center" wrapText="1"/>
    </xf>
    <xf numFmtId="3" fontId="2" fillId="3" borderId="5" xfId="0" applyNumberFormat="1" applyFont="1" applyFill="1" applyBorder="1" applyAlignment="1" applyProtection="1">
      <alignment horizontal="center" vertical="center"/>
      <protection locked="0"/>
    </xf>
    <xf numFmtId="0" fontId="17" fillId="2" borderId="5" xfId="0" applyFont="1" applyFill="1" applyBorder="1" applyAlignment="1">
      <alignment horizontal="center"/>
    </xf>
    <xf numFmtId="0" fontId="2" fillId="2" borderId="0" xfId="0" applyFont="1" applyFill="1" applyAlignment="1">
      <alignment horizontal="left" vertical="top" wrapText="1"/>
    </xf>
    <xf numFmtId="0" fontId="2" fillId="2" borderId="0" xfId="1" applyNumberFormat="1" applyFont="1" applyFill="1" applyBorder="1" applyAlignment="1">
      <alignment horizontal="center" wrapText="1"/>
    </xf>
    <xf numFmtId="0" fontId="2" fillId="2" borderId="5" xfId="1" applyNumberFormat="1" applyFont="1" applyFill="1" applyBorder="1" applyAlignment="1">
      <alignment horizontal="center" wrapText="1"/>
    </xf>
    <xf numFmtId="3" fontId="13" fillId="2" borderId="5" xfId="0" applyNumberFormat="1" applyFont="1" applyFill="1" applyBorder="1" applyAlignment="1">
      <alignment horizontal="center"/>
    </xf>
    <xf numFmtId="3" fontId="4" fillId="2" borderId="5" xfId="0" applyNumberFormat="1" applyFont="1" applyFill="1" applyBorder="1" applyAlignment="1">
      <alignment horizontal="center"/>
    </xf>
    <xf numFmtId="3" fontId="17" fillId="2" borderId="0" xfId="0" applyNumberFormat="1" applyFont="1" applyFill="1" applyAlignment="1">
      <alignment horizontal="center" vertical="center"/>
    </xf>
    <xf numFmtId="0" fontId="11" fillId="2" borderId="0" xfId="0" applyFont="1" applyFill="1" applyAlignment="1">
      <alignment horizontal="left" vertical="top"/>
    </xf>
  </cellXfs>
  <cellStyles count="4">
    <cellStyle name="Comma" xfId="3" builtinId="3"/>
    <cellStyle name="Normal" xfId="0" builtinId="0"/>
    <cellStyle name="Normal 2" xfId="2" xr:uid="{00000000-0005-0000-0000-000002000000}"/>
    <cellStyle name="Percent" xfId="1" builtinId="5"/>
  </cellStyles>
  <dxfs count="4">
    <dxf>
      <border>
        <bottom style="thin">
          <color auto="1"/>
        </bottom>
        <vertical/>
        <horizontal/>
      </border>
    </dxf>
    <dxf>
      <border>
        <bottom style="thin">
          <color auto="1"/>
        </bottom>
        <vertical/>
        <horizontal/>
      </border>
    </dxf>
    <dxf>
      <border>
        <bottom style="thin">
          <color auto="1"/>
        </bottom>
        <vertical/>
        <horizontal/>
      </border>
    </dxf>
    <dxf>
      <fill>
        <patternFill>
          <bgColor rgb="FFFF5050"/>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E$4" lockText="1" noThreeD="1"/>
</file>

<file path=xl/ctrlProps/ctrlProp2.xml><?xml version="1.0" encoding="utf-8"?>
<formControlPr xmlns="http://schemas.microsoft.com/office/spreadsheetml/2009/9/main" objectType="CheckBox" fmlaLink="$BE$6" lockText="1" noThreeD="1"/>
</file>

<file path=xl/ctrlProps/ctrlProp3.xml><?xml version="1.0" encoding="utf-8"?>
<formControlPr xmlns="http://schemas.microsoft.com/office/spreadsheetml/2009/9/main" objectType="CheckBox" fmlaLink="$BE$8" lockText="1" noThreeD="1"/>
</file>

<file path=xl/drawings/drawing1.xml><?xml version="1.0" encoding="utf-8"?>
<xdr:wsDr xmlns:xdr="http://schemas.openxmlformats.org/drawingml/2006/spreadsheetDrawing" xmlns:a="http://schemas.openxmlformats.org/drawingml/2006/main">
  <xdr:twoCellAnchor>
    <xdr:from>
      <xdr:col>11</xdr:col>
      <xdr:colOff>27646</xdr:colOff>
      <xdr:row>126</xdr:row>
      <xdr:rowOff>83634</xdr:rowOff>
    </xdr:from>
    <xdr:to>
      <xdr:col>14</xdr:col>
      <xdr:colOff>27646</xdr:colOff>
      <xdr:row>126</xdr:row>
      <xdr:rowOff>83634</xdr:rowOff>
    </xdr:to>
    <xdr:cxnSp macro="">
      <xdr:nvCxnSpPr>
        <xdr:cNvPr id="3" name="Straight Arrow Connector 2">
          <a:extLst>
            <a:ext uri="{FF2B5EF4-FFF2-40B4-BE49-F238E27FC236}">
              <a16:creationId xmlns:a16="http://schemas.microsoft.com/office/drawing/2014/main" id="{00000000-0008-0000-0000-000003000000}"/>
            </a:ext>
          </a:extLst>
        </xdr:cNvPr>
        <xdr:cNvCxnSpPr/>
      </xdr:nvCxnSpPr>
      <xdr:spPr>
        <a:xfrm>
          <a:off x="1627846" y="8608509"/>
          <a:ext cx="457200" cy="0"/>
        </a:xfrm>
        <a:prstGeom prst="straightConnector1">
          <a:avLst/>
        </a:prstGeom>
        <a:ln>
          <a:solidFill>
            <a:sysClr val="windowText" lastClr="000000"/>
          </a:solidFill>
          <a:headEnd type="none" w="sm" len="sm"/>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34151</xdr:colOff>
      <xdr:row>130</xdr:row>
      <xdr:rowOff>85028</xdr:rowOff>
    </xdr:from>
    <xdr:to>
      <xdr:col>14</xdr:col>
      <xdr:colOff>34151</xdr:colOff>
      <xdr:row>130</xdr:row>
      <xdr:rowOff>85028</xdr:rowOff>
    </xdr:to>
    <xdr:cxnSp macro="">
      <xdr:nvCxnSpPr>
        <xdr:cNvPr id="5" name="Straight Arrow Connector 4">
          <a:extLst>
            <a:ext uri="{FF2B5EF4-FFF2-40B4-BE49-F238E27FC236}">
              <a16:creationId xmlns:a16="http://schemas.microsoft.com/office/drawing/2014/main" id="{00000000-0008-0000-0000-000005000000}"/>
            </a:ext>
          </a:extLst>
        </xdr:cNvPr>
        <xdr:cNvCxnSpPr/>
      </xdr:nvCxnSpPr>
      <xdr:spPr>
        <a:xfrm>
          <a:off x="1634351" y="8809928"/>
          <a:ext cx="457200" cy="0"/>
        </a:xfrm>
        <a:prstGeom prst="straightConnector1">
          <a:avLst/>
        </a:prstGeom>
        <a:ln>
          <a:solidFill>
            <a:sysClr val="windowText" lastClr="000000"/>
          </a:solidFill>
          <a:headEnd type="none" w="sm" len="sm"/>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12</xdr:col>
          <xdr:colOff>57150</xdr:colOff>
          <xdr:row>4</xdr:row>
          <xdr:rowOff>9525</xdr:rowOff>
        </xdr:from>
        <xdr:to>
          <xdr:col>24</xdr:col>
          <xdr:colOff>0</xdr:colOff>
          <xdr:row>6</xdr:row>
          <xdr:rowOff>19050</xdr:rowOff>
        </xdr:to>
        <xdr:sp macro="" textlink="">
          <xdr:nvSpPr>
            <xdr:cNvPr id="5528" name="Check Box 1432" hidden="1">
              <a:extLst>
                <a:ext uri="{63B3BB69-23CF-44E3-9099-C40C66FF867C}">
                  <a14:compatExt spid="_x0000_s5528"/>
                </a:ext>
                <a:ext uri="{FF2B5EF4-FFF2-40B4-BE49-F238E27FC236}">
                  <a16:creationId xmlns:a16="http://schemas.microsoft.com/office/drawing/2014/main" id="{00000000-0008-0000-0000-00009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Pre-Developed Pasture Standard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133350</xdr:colOff>
          <xdr:row>4</xdr:row>
          <xdr:rowOff>9525</xdr:rowOff>
        </xdr:from>
        <xdr:to>
          <xdr:col>37</xdr:col>
          <xdr:colOff>114300</xdr:colOff>
          <xdr:row>6</xdr:row>
          <xdr:rowOff>28575</xdr:rowOff>
        </xdr:to>
        <xdr:sp macro="" textlink="">
          <xdr:nvSpPr>
            <xdr:cNvPr id="5529" name="Check Box 1433" hidden="1">
              <a:extLst>
                <a:ext uri="{63B3BB69-23CF-44E3-9099-C40C66FF867C}">
                  <a14:compatExt spid="_x0000_s5529"/>
                </a:ext>
                <a:ext uri="{FF2B5EF4-FFF2-40B4-BE49-F238E27FC236}">
                  <a16:creationId xmlns:a16="http://schemas.microsoft.com/office/drawing/2014/main" id="{00000000-0008-0000-0000-00009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Peak Control Standard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133350</xdr:colOff>
          <xdr:row>3</xdr:row>
          <xdr:rowOff>152400</xdr:rowOff>
        </xdr:from>
        <xdr:to>
          <xdr:col>50</xdr:col>
          <xdr:colOff>142875</xdr:colOff>
          <xdr:row>6</xdr:row>
          <xdr:rowOff>38100</xdr:rowOff>
        </xdr:to>
        <xdr:sp macro="" textlink="">
          <xdr:nvSpPr>
            <xdr:cNvPr id="5530" name="Check Box 1434" hidden="1">
              <a:extLst>
                <a:ext uri="{63B3BB69-23CF-44E3-9099-C40C66FF867C}">
                  <a14:compatExt spid="_x0000_s5530"/>
                </a:ext>
                <a:ext uri="{FF2B5EF4-FFF2-40B4-BE49-F238E27FC236}">
                  <a16:creationId xmlns:a16="http://schemas.microsoft.com/office/drawing/2014/main" id="{00000000-0008-0000-0000-00009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Water Quality Treatment Standard</a:t>
              </a:r>
            </a:p>
          </xdr:txBody>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228"/>
  <sheetViews>
    <sheetView showGridLines="0" tabSelected="1" zoomScale="115" zoomScaleNormal="115" zoomScaleSheetLayoutView="100" workbookViewId="0">
      <pane ySplit="17" topLeftCell="A146" activePane="bottomLeft" state="frozen"/>
      <selection pane="bottomLeft" activeCell="AE8" sqref="AE8:AL8"/>
    </sheetView>
  </sheetViews>
  <sheetFormatPr defaultColWidth="2.28515625" defaultRowHeight="12" x14ac:dyDescent="0.2"/>
  <cols>
    <col min="1" max="1" width="1.140625" style="2" customWidth="1"/>
    <col min="2" max="9" width="2.28515625" style="2" customWidth="1"/>
    <col min="10" max="10" width="2.85546875" style="2" customWidth="1"/>
    <col min="11" max="30" width="2.28515625" style="2" customWidth="1"/>
    <col min="31" max="31" width="1.7109375" style="2" customWidth="1"/>
    <col min="32" max="53" width="2.28515625" style="2" customWidth="1"/>
    <col min="54" max="54" width="1.140625" style="2" customWidth="1"/>
    <col min="55" max="55" width="2.28515625" style="2" hidden="1" customWidth="1"/>
    <col min="56" max="56" width="38.7109375" style="2" hidden="1" customWidth="1"/>
    <col min="57" max="58" width="12.42578125" style="2" hidden="1" customWidth="1"/>
    <col min="59" max="59" width="15.85546875" style="2" hidden="1" customWidth="1"/>
    <col min="60" max="61" width="12.42578125" style="2" hidden="1" customWidth="1"/>
    <col min="62" max="62" width="12.42578125" style="37" hidden="1" customWidth="1"/>
    <col min="63" max="63" width="8.7109375" style="2" hidden="1" customWidth="1"/>
    <col min="64" max="16384" width="2.28515625" style="2"/>
  </cols>
  <sheetData>
    <row r="1" spans="1:60" ht="15" x14ac:dyDescent="0.25">
      <c r="A1" s="185" t="s">
        <v>260</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c r="AX1" s="186"/>
      <c r="AY1" s="186"/>
      <c r="AZ1" s="186"/>
      <c r="BA1" s="186"/>
      <c r="BB1" s="187"/>
    </row>
    <row r="2" spans="1:60" ht="15" x14ac:dyDescent="0.25">
      <c r="A2" s="188">
        <v>46198</v>
      </c>
      <c r="B2" s="189"/>
      <c r="C2" s="189"/>
      <c r="D2" s="189"/>
      <c r="E2" s="189"/>
      <c r="F2" s="189"/>
      <c r="G2" s="189"/>
      <c r="H2" s="190" t="s">
        <v>259</v>
      </c>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c r="AM2" s="190"/>
      <c r="AN2" s="190"/>
      <c r="AO2" s="190"/>
      <c r="AP2" s="190"/>
      <c r="AQ2" s="190"/>
      <c r="AR2" s="190"/>
      <c r="AS2" s="190"/>
      <c r="AT2" s="190"/>
      <c r="AU2" s="190"/>
      <c r="AV2" s="71"/>
      <c r="AW2" s="71"/>
      <c r="AX2" s="71"/>
      <c r="AY2" s="71"/>
      <c r="AZ2" s="71"/>
      <c r="BA2" s="71"/>
      <c r="BB2" s="72"/>
    </row>
    <row r="3" spans="1:60" ht="3.75" customHeight="1" x14ac:dyDescent="0.2">
      <c r="A3" s="3"/>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5"/>
    </row>
    <row r="4" spans="1:60" x14ac:dyDescent="0.2">
      <c r="A4" s="6"/>
      <c r="B4" s="195" t="s">
        <v>124</v>
      </c>
      <c r="C4" s="195"/>
      <c r="D4" s="195"/>
      <c r="E4" s="195"/>
      <c r="F4" s="195"/>
      <c r="G4" s="195"/>
      <c r="H4" s="195"/>
      <c r="I4" s="195"/>
      <c r="J4" s="195"/>
      <c r="K4" s="195"/>
      <c r="L4" s="195"/>
      <c r="M4" s="195"/>
      <c r="N4" s="195"/>
      <c r="O4" s="195"/>
      <c r="P4" s="195"/>
      <c r="Q4" s="195"/>
      <c r="R4" s="195"/>
      <c r="S4" s="195"/>
      <c r="T4" s="195"/>
      <c r="U4" s="195"/>
      <c r="V4" s="195"/>
      <c r="W4" s="195"/>
      <c r="X4" s="195"/>
      <c r="Y4" s="195"/>
      <c r="Z4" s="195"/>
      <c r="AA4" s="195"/>
      <c r="AB4" s="195"/>
      <c r="AC4" s="195"/>
      <c r="AD4" s="195"/>
      <c r="AE4" s="195"/>
      <c r="AF4" s="195"/>
      <c r="AG4" s="195"/>
      <c r="AH4" s="195"/>
      <c r="AI4" s="195"/>
      <c r="AJ4" s="195"/>
      <c r="AK4" s="195"/>
      <c r="AL4" s="195"/>
      <c r="AM4" s="195"/>
      <c r="AN4" s="195"/>
      <c r="AO4" s="195"/>
      <c r="AP4" s="195"/>
      <c r="AQ4" s="195"/>
      <c r="AR4" s="195"/>
      <c r="AS4" s="195"/>
      <c r="AT4" s="195"/>
      <c r="AU4" s="195"/>
      <c r="AV4" s="195"/>
      <c r="AW4" s="195"/>
      <c r="AX4" s="195"/>
      <c r="AY4" s="195"/>
      <c r="AZ4" s="195"/>
      <c r="BA4" s="195"/>
      <c r="BB4" s="8"/>
      <c r="BD4" s="2" t="s">
        <v>7</v>
      </c>
      <c r="BE4" s="161" t="b">
        <v>0</v>
      </c>
    </row>
    <row r="5" spans="1:60" ht="3.75" customHeight="1" x14ac:dyDescent="0.2">
      <c r="A5" s="6"/>
      <c r="B5" s="195"/>
      <c r="C5" s="195"/>
      <c r="D5" s="195"/>
      <c r="E5" s="195"/>
      <c r="F5" s="195"/>
      <c r="G5" s="195"/>
      <c r="H5" s="195"/>
      <c r="I5" s="195"/>
      <c r="J5" s="195"/>
      <c r="K5" s="195"/>
      <c r="L5" s="195"/>
      <c r="M5" s="195"/>
      <c r="N5" s="195"/>
      <c r="O5" s="195"/>
      <c r="P5" s="195"/>
      <c r="Q5" s="195"/>
      <c r="R5" s="195"/>
      <c r="S5" s="195"/>
      <c r="T5" s="195"/>
      <c r="U5" s="195"/>
      <c r="V5" s="195"/>
      <c r="W5" s="195"/>
      <c r="X5" s="195"/>
      <c r="Y5" s="195"/>
      <c r="Z5" s="195"/>
      <c r="AA5" s="195"/>
      <c r="AB5" s="195"/>
      <c r="AC5" s="195"/>
      <c r="AD5" s="195"/>
      <c r="AE5" s="195"/>
      <c r="AF5" s="195"/>
      <c r="AG5" s="195"/>
      <c r="AH5" s="195"/>
      <c r="AI5" s="195"/>
      <c r="AJ5" s="195"/>
      <c r="AK5" s="195"/>
      <c r="AL5" s="195"/>
      <c r="AM5" s="195"/>
      <c r="AN5" s="195"/>
      <c r="AO5" s="195"/>
      <c r="AP5" s="195"/>
      <c r="AQ5" s="195"/>
      <c r="AR5" s="195"/>
      <c r="AS5" s="195"/>
      <c r="AT5" s="195"/>
      <c r="AU5" s="195"/>
      <c r="AV5" s="195"/>
      <c r="AW5" s="195"/>
      <c r="AX5" s="195"/>
      <c r="AY5" s="195"/>
      <c r="AZ5" s="195"/>
      <c r="BA5" s="195"/>
      <c r="BB5" s="8"/>
    </row>
    <row r="6" spans="1:60" x14ac:dyDescent="0.2">
      <c r="A6" s="6"/>
      <c r="B6" s="7" t="s">
        <v>214</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8"/>
      <c r="BD6" s="2" t="s">
        <v>71</v>
      </c>
      <c r="BE6" s="161" t="b">
        <v>0</v>
      </c>
    </row>
    <row r="7" spans="1:60" ht="3.75" customHeight="1" x14ac:dyDescent="0.2">
      <c r="A7" s="6"/>
      <c r="B7" s="7"/>
      <c r="C7" s="7"/>
      <c r="D7" s="7"/>
      <c r="E7" s="7"/>
      <c r="F7" s="7"/>
      <c r="G7" s="7"/>
      <c r="H7" s="7"/>
      <c r="I7" s="7"/>
      <c r="J7" s="7"/>
      <c r="K7" s="7"/>
      <c r="L7" s="7"/>
      <c r="M7" s="7"/>
      <c r="N7" s="7"/>
      <c r="O7" s="7"/>
      <c r="P7" s="7"/>
      <c r="Q7" s="7"/>
      <c r="R7" s="7"/>
      <c r="S7" s="7"/>
      <c r="T7" s="7"/>
      <c r="U7" s="7"/>
      <c r="V7" s="7"/>
      <c r="W7" s="7"/>
      <c r="X7" s="7"/>
      <c r="Y7" s="7"/>
      <c r="Z7" s="7"/>
      <c r="AA7" s="7"/>
      <c r="AB7" s="7"/>
      <c r="AC7" s="7"/>
      <c r="AD7" s="7"/>
      <c r="AE7" s="9"/>
      <c r="AF7" s="9"/>
      <c r="AG7" s="9"/>
      <c r="AH7" s="9"/>
      <c r="AI7" s="9"/>
      <c r="AJ7" s="9"/>
      <c r="AK7" s="9"/>
      <c r="AL7" s="9"/>
      <c r="AM7" s="9"/>
      <c r="AN7" s="178" t="str">
        <f>IF(AE10&gt;10000,"The pre-sized approach is not applicable for projects exceeding 10,000 sf of new plus replaced hard surface.","")</f>
        <v/>
      </c>
      <c r="AO7" s="178"/>
      <c r="AP7" s="178"/>
      <c r="AQ7" s="178"/>
      <c r="AR7" s="178"/>
      <c r="AS7" s="178"/>
      <c r="AT7" s="178"/>
      <c r="AU7" s="178"/>
      <c r="AV7" s="178"/>
      <c r="AW7" s="178"/>
      <c r="AX7" s="178"/>
      <c r="AY7" s="178"/>
      <c r="AZ7" s="178"/>
      <c r="BA7" s="178"/>
      <c r="BB7" s="8"/>
    </row>
    <row r="8" spans="1:60" ht="12" customHeight="1" x14ac:dyDescent="0.2">
      <c r="A8" s="6"/>
      <c r="B8" s="73" t="s">
        <v>133</v>
      </c>
      <c r="C8" s="7"/>
      <c r="D8" s="7"/>
      <c r="E8" s="7"/>
      <c r="F8" s="7"/>
      <c r="G8" s="7"/>
      <c r="H8" s="7"/>
      <c r="I8" s="7"/>
      <c r="J8" s="7"/>
      <c r="K8" s="7"/>
      <c r="L8" s="7"/>
      <c r="M8" s="7"/>
      <c r="N8" s="7"/>
      <c r="O8" s="7"/>
      <c r="P8" s="7"/>
      <c r="Q8" s="7"/>
      <c r="R8" s="7"/>
      <c r="S8" s="7"/>
      <c r="T8" s="7"/>
      <c r="U8" s="7"/>
      <c r="V8" s="7"/>
      <c r="W8" s="7"/>
      <c r="X8" s="7"/>
      <c r="Y8" s="9"/>
      <c r="Z8" s="9"/>
      <c r="AA8" s="9"/>
      <c r="AB8" s="9"/>
      <c r="AC8" s="9"/>
      <c r="AD8" s="9"/>
      <c r="AE8" s="192"/>
      <c r="AF8" s="192"/>
      <c r="AG8" s="192"/>
      <c r="AH8" s="192"/>
      <c r="AI8" s="192"/>
      <c r="AJ8" s="192"/>
      <c r="AK8" s="192"/>
      <c r="AL8" s="192"/>
      <c r="AM8" s="9"/>
      <c r="AN8" s="178"/>
      <c r="AO8" s="178"/>
      <c r="AP8" s="178"/>
      <c r="AQ8" s="178"/>
      <c r="AR8" s="178"/>
      <c r="AS8" s="178"/>
      <c r="AT8" s="178"/>
      <c r="AU8" s="178"/>
      <c r="AV8" s="178"/>
      <c r="AW8" s="178"/>
      <c r="AX8" s="178"/>
      <c r="AY8" s="178"/>
      <c r="AZ8" s="178"/>
      <c r="BA8" s="178"/>
      <c r="BB8" s="46"/>
      <c r="BD8" s="2" t="s">
        <v>216</v>
      </c>
      <c r="BE8" s="161" t="b">
        <v>0</v>
      </c>
    </row>
    <row r="9" spans="1:60" ht="3.75" customHeight="1" x14ac:dyDescent="0.2">
      <c r="A9" s="6"/>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178"/>
      <c r="AO9" s="178"/>
      <c r="AP9" s="178"/>
      <c r="AQ9" s="178"/>
      <c r="AR9" s="178"/>
      <c r="AS9" s="178"/>
      <c r="AT9" s="178"/>
      <c r="AU9" s="178"/>
      <c r="AV9" s="178"/>
      <c r="AW9" s="178"/>
      <c r="AX9" s="178"/>
      <c r="AY9" s="178"/>
      <c r="AZ9" s="178"/>
      <c r="BA9" s="178"/>
      <c r="BB9" s="46"/>
    </row>
    <row r="10" spans="1:60" x14ac:dyDescent="0.2">
      <c r="A10" s="6"/>
      <c r="B10" s="7" t="s">
        <v>1</v>
      </c>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193"/>
      <c r="AF10" s="193"/>
      <c r="AG10" s="193"/>
      <c r="AH10" s="193"/>
      <c r="AI10" s="193"/>
      <c r="AJ10" s="193"/>
      <c r="AK10" s="193"/>
      <c r="AL10" s="193"/>
      <c r="AM10" s="7" t="s">
        <v>5</v>
      </c>
      <c r="AN10" s="178"/>
      <c r="AO10" s="178"/>
      <c r="AP10" s="178"/>
      <c r="AQ10" s="178"/>
      <c r="AR10" s="178"/>
      <c r="AS10" s="178"/>
      <c r="AT10" s="178"/>
      <c r="AU10" s="178"/>
      <c r="AV10" s="178"/>
      <c r="AW10" s="178"/>
      <c r="AX10" s="178"/>
      <c r="AY10" s="178"/>
      <c r="AZ10" s="178"/>
      <c r="BA10" s="178"/>
      <c r="BB10" s="46"/>
      <c r="BD10" s="45"/>
      <c r="BE10" s="45"/>
      <c r="BF10" s="45"/>
      <c r="BG10" s="45"/>
      <c r="BH10" s="45"/>
    </row>
    <row r="11" spans="1:60" ht="3.75" customHeight="1" x14ac:dyDescent="0.2">
      <c r="A11" s="6"/>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178"/>
      <c r="AO11" s="178"/>
      <c r="AP11" s="178"/>
      <c r="AQ11" s="178"/>
      <c r="AR11" s="178"/>
      <c r="AS11" s="178"/>
      <c r="AT11" s="178"/>
      <c r="AU11" s="178"/>
      <c r="AV11" s="178"/>
      <c r="AW11" s="178"/>
      <c r="AX11" s="178"/>
      <c r="AY11" s="178"/>
      <c r="AZ11" s="178"/>
      <c r="BA11" s="178"/>
      <c r="BB11" s="46"/>
    </row>
    <row r="12" spans="1:60" x14ac:dyDescent="0.2">
      <c r="A12" s="6"/>
      <c r="B12" s="7" t="s">
        <v>229</v>
      </c>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193"/>
      <c r="AF12" s="193"/>
      <c r="AG12" s="193"/>
      <c r="AH12" s="193"/>
      <c r="AI12" s="193"/>
      <c r="AJ12" s="193"/>
      <c r="AK12" s="193"/>
      <c r="AL12" s="193"/>
      <c r="AM12" s="7" t="s">
        <v>5</v>
      </c>
      <c r="AN12" s="178"/>
      <c r="AO12" s="178"/>
      <c r="AP12" s="178"/>
      <c r="AQ12" s="178"/>
      <c r="AR12" s="178"/>
      <c r="AS12" s="178"/>
      <c r="AT12" s="178"/>
      <c r="AU12" s="178"/>
      <c r="AV12" s="178"/>
      <c r="AW12" s="178"/>
      <c r="AX12" s="178"/>
      <c r="AY12" s="178"/>
      <c r="AZ12" s="178"/>
      <c r="BA12" s="178"/>
      <c r="BB12" s="46"/>
      <c r="BD12" s="45"/>
      <c r="BE12" s="45"/>
      <c r="BF12" s="45"/>
      <c r="BG12" s="45"/>
      <c r="BH12" s="45"/>
    </row>
    <row r="13" spans="1:60" ht="3.75" customHeight="1" x14ac:dyDescent="0.2">
      <c r="A13" s="6"/>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178"/>
      <c r="AO13" s="178"/>
      <c r="AP13" s="178"/>
      <c r="AQ13" s="178"/>
      <c r="AR13" s="178"/>
      <c r="AS13" s="178"/>
      <c r="AT13" s="178"/>
      <c r="AU13" s="178"/>
      <c r="AV13" s="178"/>
      <c r="AW13" s="178"/>
      <c r="AX13" s="178"/>
      <c r="AY13" s="178"/>
      <c r="AZ13" s="178"/>
      <c r="BA13" s="178"/>
      <c r="BB13" s="46"/>
    </row>
    <row r="14" spans="1:60" ht="12" customHeight="1" x14ac:dyDescent="0.2">
      <c r="A14" s="6"/>
      <c r="B14" s="7" t="s">
        <v>67</v>
      </c>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175" t="str">
        <f>AT208</f>
        <v>No</v>
      </c>
      <c r="AF14" s="175"/>
      <c r="AG14" s="175"/>
      <c r="AH14" s="175"/>
      <c r="AI14" s="175"/>
      <c r="AJ14" s="175"/>
      <c r="AK14" s="175"/>
      <c r="AL14" s="175"/>
      <c r="AM14" s="7"/>
      <c r="AN14" s="178"/>
      <c r="AO14" s="178"/>
      <c r="AP14" s="178"/>
      <c r="AQ14" s="178"/>
      <c r="AR14" s="178"/>
      <c r="AS14" s="178"/>
      <c r="AT14" s="178"/>
      <c r="AU14" s="178"/>
      <c r="AV14" s="178"/>
      <c r="AW14" s="178"/>
      <c r="AX14" s="178"/>
      <c r="AY14" s="178"/>
      <c r="AZ14" s="178"/>
      <c r="BA14" s="178"/>
      <c r="BB14" s="46"/>
      <c r="BD14" s="156" t="str">
        <f>IF(AND(PastureCheck,PeakCheck,WQCheck),All,
IF(AND(PastureCheck,PeakCheck),PastureandPeak,
IF(AND(PastureCheck,WQCheck),PastureandWQ,
IF(AND(PeakCheck,WQCheck),PeakandWQ,
IF(PastureCheck,Pasture,IF(PeakCheck,Peak,IF(WQCheck,WQ,"")))))))</f>
        <v/>
      </c>
    </row>
    <row r="15" spans="1:60" ht="3.75" customHeight="1" x14ac:dyDescent="0.2">
      <c r="A15" s="6"/>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178"/>
      <c r="AO15" s="178"/>
      <c r="AP15" s="178"/>
      <c r="AQ15" s="178"/>
      <c r="AR15" s="178"/>
      <c r="AS15" s="178"/>
      <c r="AT15" s="178"/>
      <c r="AU15" s="178"/>
      <c r="AV15" s="178"/>
      <c r="AW15" s="178"/>
      <c r="AX15" s="178"/>
      <c r="AY15" s="178"/>
      <c r="AZ15" s="178"/>
      <c r="BA15" s="178"/>
      <c r="BB15" s="46"/>
    </row>
    <row r="16" spans="1:60" x14ac:dyDescent="0.2">
      <c r="A16" s="6"/>
      <c r="B16" s="7" t="s">
        <v>231</v>
      </c>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175" t="str">
        <f>AT210</f>
        <v>NA</v>
      </c>
      <c r="AF16" s="175"/>
      <c r="AG16" s="175"/>
      <c r="AH16" s="175"/>
      <c r="AI16" s="175"/>
      <c r="AJ16" s="175"/>
      <c r="AK16" s="175"/>
      <c r="AL16" s="175"/>
      <c r="AM16" s="7"/>
      <c r="AN16" s="178"/>
      <c r="AO16" s="178"/>
      <c r="AP16" s="178"/>
      <c r="AQ16" s="178"/>
      <c r="AR16" s="178"/>
      <c r="AS16" s="178"/>
      <c r="AT16" s="178"/>
      <c r="AU16" s="178"/>
      <c r="AV16" s="178"/>
      <c r="AW16" s="178"/>
      <c r="AX16" s="178"/>
      <c r="AY16" s="178"/>
      <c r="AZ16" s="178"/>
      <c r="BA16" s="178"/>
      <c r="BB16" s="46"/>
    </row>
    <row r="17" spans="1:62" ht="3.75" customHeight="1" x14ac:dyDescent="0.2">
      <c r="A17" s="10"/>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79"/>
      <c r="AO17" s="179"/>
      <c r="AP17" s="179"/>
      <c r="AQ17" s="179"/>
      <c r="AR17" s="179"/>
      <c r="AS17" s="179"/>
      <c r="AT17" s="179"/>
      <c r="AU17" s="179"/>
      <c r="AV17" s="179"/>
      <c r="AW17" s="179"/>
      <c r="AX17" s="179"/>
      <c r="AY17" s="179"/>
      <c r="AZ17" s="179"/>
      <c r="BA17" s="179"/>
      <c r="BB17" s="12"/>
    </row>
    <row r="18" spans="1:62" s="36" customFormat="1" x14ac:dyDescent="0.2">
      <c r="A18" s="74" t="s">
        <v>134</v>
      </c>
      <c r="B18" s="59"/>
      <c r="C18" s="59"/>
      <c r="D18" s="59"/>
      <c r="E18" s="59"/>
      <c r="F18" s="59"/>
      <c r="G18" s="59"/>
      <c r="H18" s="59"/>
      <c r="I18" s="59"/>
      <c r="J18" s="59"/>
      <c r="K18" s="59"/>
      <c r="L18" s="59"/>
      <c r="M18" s="59"/>
      <c r="N18" s="59"/>
      <c r="O18" s="59"/>
      <c r="P18" s="59"/>
      <c r="Q18" s="59"/>
      <c r="R18" s="59"/>
      <c r="S18" s="59"/>
      <c r="T18" s="180" t="s">
        <v>13</v>
      </c>
      <c r="U18" s="180"/>
      <c r="V18" s="180"/>
      <c r="W18" s="180"/>
      <c r="X18" s="180"/>
      <c r="Y18" s="180"/>
      <c r="Z18" s="180"/>
      <c r="AA18" s="180"/>
      <c r="AB18" s="180"/>
      <c r="AC18" s="180"/>
      <c r="AD18" s="180"/>
      <c r="AE18" s="59"/>
      <c r="AF18" s="59"/>
      <c r="AG18" s="59"/>
      <c r="AH18" s="181" t="s">
        <v>18</v>
      </c>
      <c r="AI18" s="181"/>
      <c r="AJ18" s="181"/>
      <c r="AK18" s="181"/>
      <c r="AL18" s="181"/>
      <c r="AM18" s="181"/>
      <c r="AN18" s="181"/>
      <c r="AO18" s="181"/>
      <c r="AP18" s="181"/>
      <c r="AQ18" s="181"/>
      <c r="AR18" s="181"/>
      <c r="AS18" s="59"/>
      <c r="AT18" s="59"/>
      <c r="AU18" s="59"/>
      <c r="AV18" s="181" t="s">
        <v>14</v>
      </c>
      <c r="AW18" s="181"/>
      <c r="AX18" s="181"/>
      <c r="AY18" s="181"/>
      <c r="AZ18" s="181"/>
      <c r="BA18" s="181"/>
      <c r="BB18" s="60"/>
      <c r="BJ18" s="157"/>
    </row>
    <row r="19" spans="1:62" ht="3.75" customHeight="1" x14ac:dyDescent="0.2">
      <c r="A19" s="6"/>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8"/>
    </row>
    <row r="20" spans="1:62" x14ac:dyDescent="0.2">
      <c r="A20" s="6"/>
      <c r="B20" s="13" t="s">
        <v>9</v>
      </c>
      <c r="C20" s="7"/>
      <c r="D20" s="7"/>
      <c r="E20" s="7"/>
      <c r="F20" s="7"/>
      <c r="G20" s="7"/>
      <c r="H20" s="164" t="str">
        <f>IF(WQCheck,"(does not meet WQ Treatment Standard)","")</f>
        <v/>
      </c>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8"/>
    </row>
    <row r="21" spans="1:62" ht="3.75" customHeight="1" x14ac:dyDescent="0.2">
      <c r="A21" s="6"/>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8"/>
    </row>
    <row r="22" spans="1:62" s="24" customFormat="1" x14ac:dyDescent="0.2">
      <c r="A22" s="18"/>
      <c r="B22" s="19"/>
      <c r="C22" s="14" t="s">
        <v>100</v>
      </c>
      <c r="D22" s="1"/>
      <c r="E22" s="19"/>
      <c r="F22" s="19"/>
      <c r="G22" s="19"/>
      <c r="H22" s="19"/>
      <c r="I22" s="21"/>
      <c r="J22" s="19"/>
      <c r="K22" s="19"/>
      <c r="L22" s="182" t="s">
        <v>102</v>
      </c>
      <c r="M22" s="182"/>
      <c r="N22" s="173"/>
      <c r="O22" s="173"/>
      <c r="P22" s="173"/>
      <c r="Q22" s="173"/>
      <c r="R22" s="19"/>
      <c r="S22" s="1" t="s">
        <v>17</v>
      </c>
      <c r="T22" s="19"/>
      <c r="U22" s="19"/>
      <c r="V22" s="19"/>
      <c r="W22" s="7"/>
      <c r="X22" s="19"/>
      <c r="Y22" s="7"/>
      <c r="Z22" s="173"/>
      <c r="AA22" s="173"/>
      <c r="AB22" s="173"/>
      <c r="AC22" s="173"/>
      <c r="AD22" s="19" t="s">
        <v>5</v>
      </c>
      <c r="AE22" s="19"/>
      <c r="AF22" s="22" t="s">
        <v>42</v>
      </c>
      <c r="AG22" s="19"/>
      <c r="AH22" s="194" t="str">
        <f>IF(Standard="","Select performance standard",IF(Standard=WQ,"NA to WQ Treatment Standard","20% Canopy or 100 sf / tree"&amp;IF(AND(N22="",Z22=""),""," = "&amp;TEXT(MAX(0.2*Z22,100*N22),"#,##0")&amp;" sf")))</f>
        <v>Select performance standard</v>
      </c>
      <c r="AI22" s="194"/>
      <c r="AJ22" s="194"/>
      <c r="AK22" s="194"/>
      <c r="AL22" s="194"/>
      <c r="AM22" s="194"/>
      <c r="AN22" s="194"/>
      <c r="AO22" s="194"/>
      <c r="AP22" s="194"/>
      <c r="AQ22" s="194"/>
      <c r="AR22" s="194"/>
      <c r="AS22" s="194"/>
      <c r="AT22" s="194"/>
      <c r="AU22" s="49"/>
      <c r="AV22" s="49"/>
      <c r="AW22" s="19"/>
      <c r="AX22" s="19"/>
      <c r="AY22" s="19"/>
      <c r="AZ22" s="19"/>
      <c r="BA22" s="19"/>
      <c r="BB22" s="23"/>
      <c r="BD22" s="2"/>
      <c r="BE22" s="2"/>
      <c r="BF22" s="2"/>
      <c r="BG22" s="2"/>
      <c r="BH22" s="2"/>
      <c r="BJ22" s="37"/>
    </row>
    <row r="23" spans="1:62" ht="3.75" customHeight="1" x14ac:dyDescent="0.2">
      <c r="A23" s="6"/>
      <c r="B23" s="7"/>
      <c r="C23" s="14"/>
      <c r="D23" s="7"/>
      <c r="E23" s="7"/>
      <c r="F23" s="7"/>
      <c r="G23" s="7"/>
      <c r="H23" s="7"/>
      <c r="I23" s="7"/>
      <c r="J23" s="7"/>
      <c r="K23" s="7"/>
      <c r="L23" s="7"/>
      <c r="M23" s="7"/>
      <c r="N23" s="7"/>
      <c r="O23" s="7"/>
      <c r="P23" s="7"/>
      <c r="Q23" s="7"/>
      <c r="R23" s="7"/>
      <c r="S23" s="9"/>
      <c r="T23" s="7"/>
      <c r="U23" s="7"/>
      <c r="V23" s="7"/>
      <c r="W23" s="7"/>
      <c r="X23" s="7"/>
      <c r="Y23" s="7"/>
      <c r="Z23" s="7"/>
      <c r="AA23" s="7"/>
      <c r="AB23" s="7"/>
      <c r="AC23" s="7"/>
      <c r="AD23" s="7"/>
      <c r="AE23" s="7"/>
      <c r="AF23" s="15"/>
      <c r="AG23" s="7"/>
      <c r="AH23" s="9"/>
      <c r="AI23" s="9"/>
      <c r="AJ23" s="9"/>
      <c r="AK23" s="9"/>
      <c r="AL23" s="9"/>
      <c r="AM23" s="9"/>
      <c r="AN23" s="9"/>
      <c r="AO23" s="9"/>
      <c r="AP23" s="9"/>
      <c r="AQ23" s="9"/>
      <c r="AR23" s="9"/>
      <c r="AS23" s="9"/>
      <c r="AT23" s="9"/>
      <c r="AU23" s="7"/>
      <c r="AV23" s="49"/>
      <c r="AW23" s="19"/>
      <c r="AX23" s="19"/>
      <c r="AY23" s="19"/>
      <c r="AZ23" s="19"/>
      <c r="BA23" s="19"/>
      <c r="BB23" s="8"/>
    </row>
    <row r="24" spans="1:62" s="24" customFormat="1" x14ac:dyDescent="0.2">
      <c r="A24" s="18"/>
      <c r="B24" s="19"/>
      <c r="C24" s="14" t="s">
        <v>101</v>
      </c>
      <c r="D24" s="1"/>
      <c r="E24" s="19"/>
      <c r="F24" s="19"/>
      <c r="G24" s="19"/>
      <c r="H24" s="19"/>
      <c r="I24" s="21"/>
      <c r="J24" s="19"/>
      <c r="K24" s="19"/>
      <c r="L24" s="182" t="s">
        <v>102</v>
      </c>
      <c r="M24" s="182"/>
      <c r="N24" s="173"/>
      <c r="O24" s="173"/>
      <c r="P24" s="173"/>
      <c r="Q24" s="173"/>
      <c r="R24" s="19"/>
      <c r="S24" s="1" t="s">
        <v>17</v>
      </c>
      <c r="T24" s="19"/>
      <c r="U24" s="19"/>
      <c r="V24" s="19"/>
      <c r="W24" s="7"/>
      <c r="X24" s="19"/>
      <c r="Y24" s="7"/>
      <c r="Z24" s="173"/>
      <c r="AA24" s="173"/>
      <c r="AB24" s="173"/>
      <c r="AC24" s="173"/>
      <c r="AD24" s="19" t="s">
        <v>5</v>
      </c>
      <c r="AE24" s="19"/>
      <c r="AF24" s="22" t="s">
        <v>42</v>
      </c>
      <c r="AG24" s="19"/>
      <c r="AH24" s="194" t="str">
        <f>IF(Standard="","Select performance standard",IF(Standard=WQ,"NA to WQ Treatment Standard","10% Canopy or 50 sf / tree"&amp;IF(AND(N24="",Z24=""),""," = "&amp;TEXT(MAX(0.1*Z24,50*N24),"#,##0")&amp;" sf")))</f>
        <v>Select performance standard</v>
      </c>
      <c r="AI24" s="194"/>
      <c r="AJ24" s="194"/>
      <c r="AK24" s="194"/>
      <c r="AL24" s="194"/>
      <c r="AM24" s="194"/>
      <c r="AN24" s="194"/>
      <c r="AO24" s="194"/>
      <c r="AP24" s="194"/>
      <c r="AQ24" s="194"/>
      <c r="AR24" s="194"/>
      <c r="AS24" s="194"/>
      <c r="AT24" s="194"/>
      <c r="AU24" s="19"/>
      <c r="AV24" s="49"/>
      <c r="AW24" s="19"/>
      <c r="AX24" s="19"/>
      <c r="AY24" s="19"/>
      <c r="AZ24" s="19"/>
      <c r="BA24" s="19"/>
      <c r="BB24" s="23"/>
      <c r="BD24" s="2"/>
      <c r="BE24" s="2"/>
      <c r="BF24" s="2"/>
      <c r="BG24" s="2"/>
      <c r="BH24" s="2"/>
      <c r="BJ24" s="37"/>
    </row>
    <row r="25" spans="1:62" ht="3.75" customHeight="1" x14ac:dyDescent="0.2">
      <c r="A25" s="6"/>
      <c r="B25" s="7"/>
      <c r="C25" s="7"/>
      <c r="D25" s="7"/>
      <c r="E25" s="7"/>
      <c r="F25" s="7"/>
      <c r="G25" s="7"/>
      <c r="H25" s="7"/>
      <c r="I25" s="7"/>
      <c r="J25" s="7"/>
      <c r="K25" s="7"/>
      <c r="L25" s="7"/>
      <c r="M25" s="7"/>
      <c r="N25" s="7"/>
      <c r="O25" s="7"/>
      <c r="P25" s="7"/>
      <c r="Q25" s="7"/>
      <c r="R25" s="7"/>
      <c r="S25" s="7"/>
      <c r="T25" s="9"/>
      <c r="U25" s="7"/>
      <c r="V25" s="7"/>
      <c r="W25" s="7"/>
      <c r="X25" s="7"/>
      <c r="Y25" s="7"/>
      <c r="Z25" s="7"/>
      <c r="AA25" s="7"/>
      <c r="AB25" s="7"/>
      <c r="AC25" s="7"/>
      <c r="AD25" s="7"/>
      <c r="AE25" s="7"/>
      <c r="AF25" s="7"/>
      <c r="AG25" s="7"/>
      <c r="AH25" s="7"/>
      <c r="AI25" s="7"/>
      <c r="AJ25" s="7"/>
      <c r="AK25" s="7"/>
      <c r="AL25" s="7"/>
      <c r="AM25" s="7"/>
      <c r="AN25" s="7"/>
      <c r="AO25" s="7"/>
      <c r="AP25" s="7"/>
      <c r="AQ25" s="7"/>
      <c r="AR25" s="7"/>
      <c r="AS25" s="7"/>
      <c r="AT25" s="16"/>
      <c r="AU25" s="7"/>
      <c r="AV25" s="49"/>
      <c r="AW25" s="19"/>
      <c r="AX25" s="19"/>
      <c r="AY25" s="19"/>
      <c r="AZ25" s="19"/>
      <c r="BA25" s="19"/>
      <c r="BB25" s="8"/>
    </row>
    <row r="26" spans="1:62" x14ac:dyDescent="0.2">
      <c r="A26" s="6"/>
      <c r="B26" s="13" t="s">
        <v>15</v>
      </c>
      <c r="C26" s="7"/>
      <c r="D26" s="7"/>
      <c r="E26" s="7"/>
      <c r="F26" s="7"/>
      <c r="G26" s="7"/>
      <c r="H26" s="164" t="str">
        <f>IF(WQCheck,"(does not meet WQ Treatment Standard)","")</f>
        <v/>
      </c>
      <c r="I26" s="7"/>
      <c r="J26" s="7"/>
      <c r="K26" s="7"/>
      <c r="L26" s="7"/>
      <c r="M26" s="7"/>
      <c r="N26" s="7"/>
      <c r="O26" s="7"/>
      <c r="P26" s="7"/>
      <c r="Q26" s="7"/>
      <c r="R26" s="7"/>
      <c r="S26" s="7"/>
      <c r="T26" s="9"/>
      <c r="U26" s="7"/>
      <c r="V26" s="7"/>
      <c r="W26" s="7"/>
      <c r="X26" s="7"/>
      <c r="Y26" s="7"/>
      <c r="Z26" s="7"/>
      <c r="AA26" s="7"/>
      <c r="AB26" s="7"/>
      <c r="AC26" s="7"/>
      <c r="AD26" s="7"/>
      <c r="AE26" s="7"/>
      <c r="AF26" s="7"/>
      <c r="AG26" s="7"/>
      <c r="AH26" s="7"/>
      <c r="AI26" s="7"/>
      <c r="AJ26" s="7"/>
      <c r="AK26" s="7"/>
      <c r="AL26" s="7"/>
      <c r="AM26" s="7"/>
      <c r="AN26" s="7"/>
      <c r="AO26" s="7"/>
      <c r="AP26" s="7"/>
      <c r="AQ26" s="7"/>
      <c r="AR26" s="7"/>
      <c r="AS26" s="7"/>
      <c r="AT26" s="16"/>
      <c r="AU26" s="7"/>
      <c r="AV26" s="49"/>
      <c r="AW26" s="19"/>
      <c r="AX26" s="19"/>
      <c r="AY26" s="19"/>
      <c r="AZ26" s="19"/>
      <c r="BA26" s="19"/>
      <c r="BB26" s="8"/>
    </row>
    <row r="27" spans="1:62" ht="3.75" customHeight="1" x14ac:dyDescent="0.2">
      <c r="A27" s="6"/>
      <c r="B27" s="7"/>
      <c r="C27" s="7"/>
      <c r="D27" s="7"/>
      <c r="E27" s="7"/>
      <c r="F27" s="7"/>
      <c r="G27" s="7"/>
      <c r="H27" s="7"/>
      <c r="I27" s="7"/>
      <c r="J27" s="7"/>
      <c r="K27" s="7"/>
      <c r="L27" s="7"/>
      <c r="M27" s="7"/>
      <c r="N27" s="7"/>
      <c r="O27" s="7"/>
      <c r="P27" s="7"/>
      <c r="Q27" s="7"/>
      <c r="R27" s="7"/>
      <c r="S27" s="7"/>
      <c r="T27" s="9"/>
      <c r="U27" s="7"/>
      <c r="V27" s="7"/>
      <c r="W27" s="7"/>
      <c r="X27" s="7"/>
      <c r="Y27" s="7"/>
      <c r="Z27" s="7"/>
      <c r="AA27" s="7"/>
      <c r="AB27" s="7"/>
      <c r="AC27" s="7"/>
      <c r="AD27" s="7"/>
      <c r="AE27" s="7"/>
      <c r="AF27" s="7"/>
      <c r="AG27" s="7"/>
      <c r="AH27" s="7"/>
      <c r="AI27" s="7"/>
      <c r="AJ27" s="7"/>
      <c r="AK27" s="7"/>
      <c r="AL27" s="7"/>
      <c r="AM27" s="7"/>
      <c r="AN27" s="7"/>
      <c r="AO27" s="7"/>
      <c r="AP27" s="7"/>
      <c r="AQ27" s="7"/>
      <c r="AR27" s="7"/>
      <c r="AS27" s="7"/>
      <c r="AT27" s="16"/>
      <c r="AU27" s="7"/>
      <c r="AV27" s="49"/>
      <c r="AW27" s="19"/>
      <c r="AX27" s="19"/>
      <c r="AY27" s="19"/>
      <c r="AZ27" s="19"/>
      <c r="BA27" s="19"/>
      <c r="BB27" s="8"/>
    </row>
    <row r="28" spans="1:62" x14ac:dyDescent="0.2">
      <c r="A28" s="6"/>
      <c r="B28" s="7"/>
      <c r="C28" s="14" t="s">
        <v>10</v>
      </c>
      <c r="D28" s="7"/>
      <c r="E28" s="7"/>
      <c r="F28" s="7"/>
      <c r="G28" s="7"/>
      <c r="H28" s="7"/>
      <c r="I28" s="7"/>
      <c r="J28" s="19"/>
      <c r="K28" s="19"/>
      <c r="L28" s="7"/>
      <c r="M28" s="7"/>
      <c r="N28" s="7"/>
      <c r="O28" s="7"/>
      <c r="P28" s="7"/>
      <c r="Q28" s="7"/>
      <c r="R28" s="7"/>
      <c r="S28" s="1" t="s">
        <v>16</v>
      </c>
      <c r="T28" s="19"/>
      <c r="U28" s="21"/>
      <c r="V28" s="7"/>
      <c r="W28" s="21"/>
      <c r="X28" s="7"/>
      <c r="Y28" s="7"/>
      <c r="Z28" s="173"/>
      <c r="AA28" s="173"/>
      <c r="AB28" s="173"/>
      <c r="AC28" s="173"/>
      <c r="AD28" s="7"/>
      <c r="AE28" s="7"/>
      <c r="AF28" s="22" t="s">
        <v>42</v>
      </c>
      <c r="AG28" s="19"/>
      <c r="AH28" s="194" t="str">
        <f>IF(Standard="","Select performance standard",IF(Standard=WQ,"NA to WQ Treatment Standard","50 sf / tree"&amp;IF(Z28="",""," = "&amp;TEXT(Z28*50,"#,##0")&amp;" sf")))</f>
        <v>Select performance standard</v>
      </c>
      <c r="AI28" s="194"/>
      <c r="AJ28" s="194"/>
      <c r="AK28" s="194"/>
      <c r="AL28" s="194"/>
      <c r="AM28" s="194"/>
      <c r="AN28" s="194"/>
      <c r="AO28" s="194"/>
      <c r="AP28" s="194"/>
      <c r="AQ28" s="194"/>
      <c r="AR28" s="194"/>
      <c r="AS28" s="194"/>
      <c r="AT28" s="194"/>
      <c r="AU28" s="7"/>
      <c r="AV28" s="49"/>
      <c r="AW28" s="19"/>
      <c r="AX28" s="19"/>
      <c r="AY28" s="19"/>
      <c r="AZ28" s="19"/>
      <c r="BA28" s="19"/>
      <c r="BB28" s="8"/>
    </row>
    <row r="29" spans="1:62" ht="3.75" customHeight="1" x14ac:dyDescent="0.2">
      <c r="A29" s="6"/>
      <c r="B29" s="7"/>
      <c r="C29" s="14"/>
      <c r="D29" s="7"/>
      <c r="E29" s="7"/>
      <c r="F29" s="7"/>
      <c r="G29" s="7"/>
      <c r="H29" s="7"/>
      <c r="I29" s="7"/>
      <c r="J29" s="7"/>
      <c r="K29" s="7"/>
      <c r="L29" s="7"/>
      <c r="M29" s="7"/>
      <c r="N29" s="7"/>
      <c r="O29" s="7"/>
      <c r="P29" s="7"/>
      <c r="Q29" s="7"/>
      <c r="R29" s="7"/>
      <c r="S29" s="9"/>
      <c r="T29" s="7"/>
      <c r="U29" s="7"/>
      <c r="V29" s="7"/>
      <c r="W29" s="7"/>
      <c r="X29" s="7"/>
      <c r="Y29" s="7"/>
      <c r="Z29" s="7"/>
      <c r="AA29" s="7"/>
      <c r="AB29" s="7"/>
      <c r="AC29" s="7"/>
      <c r="AD29" s="7"/>
      <c r="AE29" s="7"/>
      <c r="AF29" s="15"/>
      <c r="AG29" s="7"/>
      <c r="AH29" s="7"/>
      <c r="AI29" s="7"/>
      <c r="AJ29" s="7"/>
      <c r="AK29" s="7"/>
      <c r="AL29" s="7"/>
      <c r="AM29" s="7"/>
      <c r="AN29" s="7"/>
      <c r="AO29" s="7"/>
      <c r="AP29" s="7"/>
      <c r="AQ29" s="7"/>
      <c r="AR29" s="7"/>
      <c r="AS29" s="7"/>
      <c r="AT29" s="16"/>
      <c r="AU29" s="7"/>
      <c r="AV29" s="7"/>
      <c r="AW29" s="7"/>
      <c r="AX29" s="7"/>
      <c r="AY29" s="7"/>
      <c r="AZ29" s="7"/>
      <c r="BA29" s="7"/>
      <c r="BB29" s="8"/>
    </row>
    <row r="30" spans="1:62" x14ac:dyDescent="0.2">
      <c r="A30" s="6"/>
      <c r="B30" s="7"/>
      <c r="C30" s="14" t="s">
        <v>11</v>
      </c>
      <c r="D30" s="7"/>
      <c r="E30" s="7"/>
      <c r="F30" s="7"/>
      <c r="G30" s="7"/>
      <c r="H30" s="7"/>
      <c r="I30" s="7"/>
      <c r="J30" s="19"/>
      <c r="K30" s="19"/>
      <c r="L30" s="7"/>
      <c r="M30" s="7"/>
      <c r="N30" s="7"/>
      <c r="O30" s="7"/>
      <c r="P30" s="7"/>
      <c r="Q30" s="7"/>
      <c r="R30" s="7"/>
      <c r="S30" s="1" t="s">
        <v>16</v>
      </c>
      <c r="T30" s="19"/>
      <c r="U30" s="21"/>
      <c r="V30" s="7"/>
      <c r="W30" s="21"/>
      <c r="X30" s="7"/>
      <c r="Y30" s="7"/>
      <c r="Z30" s="173"/>
      <c r="AA30" s="173"/>
      <c r="AB30" s="173"/>
      <c r="AC30" s="173"/>
      <c r="AD30" s="7"/>
      <c r="AE30" s="7"/>
      <c r="AF30" s="22" t="s">
        <v>42</v>
      </c>
      <c r="AG30" s="19"/>
      <c r="AH30" s="194" t="str">
        <f>IF(Standard="","Select performance standard",IF(Standard=WQ,"NA to WQ Treatment Standard","20 sf / tree"&amp;IF(Z30="",""," = "&amp;TEXT(Z30*20,"#,###0")&amp;" sf")))</f>
        <v>Select performance standard</v>
      </c>
      <c r="AI30" s="194"/>
      <c r="AJ30" s="194"/>
      <c r="AK30" s="194"/>
      <c r="AL30" s="194"/>
      <c r="AM30" s="194"/>
      <c r="AN30" s="194"/>
      <c r="AO30" s="194"/>
      <c r="AP30" s="194"/>
      <c r="AQ30" s="194"/>
      <c r="AR30" s="194"/>
      <c r="AS30" s="194"/>
      <c r="AT30" s="194"/>
      <c r="AU30" s="7"/>
      <c r="AV30" s="7"/>
      <c r="AW30" s="7"/>
      <c r="AX30" s="7"/>
      <c r="AY30" s="7"/>
      <c r="AZ30" s="7"/>
      <c r="BA30" s="7"/>
      <c r="BB30" s="8"/>
    </row>
    <row r="31" spans="1:62" x14ac:dyDescent="0.2">
      <c r="A31" s="6"/>
      <c r="B31" s="7"/>
      <c r="C31" s="191" t="str">
        <f>IF(OR(N22&gt;0,Z22&gt;0,N24&gt;0,Z24&gt;0,Z28&gt;0,Z30&gt;0),"Trees must be within 20 feet of ground level hard surfaces to be meet flow control. ","")&amp;IF(AV32=0.25*AE10,"Total area managed by retained and newly planted trees shall not exceed ","")</f>
        <v/>
      </c>
      <c r="D31" s="191"/>
      <c r="E31" s="191"/>
      <c r="F31" s="191"/>
      <c r="G31" s="191"/>
      <c r="H31" s="191"/>
      <c r="I31" s="191"/>
      <c r="J31" s="191"/>
      <c r="K31" s="191"/>
      <c r="L31" s="191"/>
      <c r="M31" s="191"/>
      <c r="N31" s="191"/>
      <c r="O31" s="191"/>
      <c r="P31" s="191"/>
      <c r="Q31" s="191"/>
      <c r="R31" s="191"/>
      <c r="S31" s="191"/>
      <c r="T31" s="191"/>
      <c r="U31" s="191"/>
      <c r="V31" s="191"/>
      <c r="W31" s="191"/>
      <c r="X31" s="191"/>
      <c r="Y31" s="191"/>
      <c r="Z31" s="191"/>
      <c r="AA31" s="191"/>
      <c r="AB31" s="191"/>
      <c r="AC31" s="191"/>
      <c r="AD31" s="191"/>
      <c r="AE31" s="191"/>
      <c r="AF31" s="191"/>
      <c r="AG31" s="191"/>
      <c r="AH31" s="191"/>
      <c r="AI31" s="191"/>
      <c r="AJ31" s="191"/>
      <c r="AK31" s="191"/>
      <c r="AL31" s="191"/>
      <c r="AM31" s="191"/>
      <c r="AN31" s="191"/>
      <c r="AO31" s="191"/>
      <c r="AP31" s="191"/>
      <c r="AQ31" s="191"/>
      <c r="AR31" s="191"/>
      <c r="AS31" s="191"/>
      <c r="AT31" s="191"/>
      <c r="AU31" s="191"/>
      <c r="AV31" s="191"/>
      <c r="AW31" s="191"/>
      <c r="AX31" s="191"/>
      <c r="AY31" s="191"/>
      <c r="AZ31" s="191"/>
      <c r="BA31" s="191"/>
      <c r="BB31" s="8"/>
    </row>
    <row r="32" spans="1:62" x14ac:dyDescent="0.2">
      <c r="A32" s="6"/>
      <c r="B32" s="7"/>
      <c r="C32" s="91" t="str">
        <f>IF(AV32=0.25*AE10,"25 percent of the new plus replaced hard surface requiring mitigation","")</f>
        <v/>
      </c>
      <c r="D32" s="7"/>
      <c r="E32" s="7"/>
      <c r="F32" s="7"/>
      <c r="G32" s="7"/>
      <c r="H32" s="7"/>
      <c r="I32" s="7"/>
      <c r="J32" s="19"/>
      <c r="K32" s="19"/>
      <c r="L32" s="7"/>
      <c r="M32" s="7"/>
      <c r="N32" s="7"/>
      <c r="O32" s="7"/>
      <c r="P32" s="7"/>
      <c r="Q32" s="7"/>
      <c r="R32" s="7"/>
      <c r="S32" s="7"/>
      <c r="T32" s="1"/>
      <c r="U32" s="19"/>
      <c r="V32" s="21"/>
      <c r="W32" s="21"/>
      <c r="X32" s="21"/>
      <c r="Y32" s="21"/>
      <c r="Z32" s="21"/>
      <c r="AA32" s="21"/>
      <c r="AB32" s="21"/>
      <c r="AC32" s="21"/>
      <c r="AD32" s="21"/>
      <c r="AE32" s="21"/>
      <c r="AF32" s="22"/>
      <c r="AG32" s="19"/>
      <c r="AH32" s="182" t="s">
        <v>119</v>
      </c>
      <c r="AI32" s="182"/>
      <c r="AJ32" s="182"/>
      <c r="AK32" s="182"/>
      <c r="AL32" s="182"/>
      <c r="AM32" s="182"/>
      <c r="AN32" s="182"/>
      <c r="AO32" s="182"/>
      <c r="AP32" s="182"/>
      <c r="AQ32" s="182"/>
      <c r="AR32" s="182"/>
      <c r="AS32" s="19"/>
      <c r="AT32" s="22" t="str">
        <f>"="</f>
        <v>=</v>
      </c>
      <c r="AU32" s="19"/>
      <c r="AV32" s="183" t="str">
        <f>IF(OR(Standard="",Standard=WQ,AE10="",AND(N22="",Z22="",N24="",Z24="",Z28="",Z30="")),"",MIN(0.25*AE10,MAX(0.2*Z22,100*N22)+MAX(0.1*Z24,50*N24)+Z28*50+Z30*20))</f>
        <v/>
      </c>
      <c r="AW32" s="183"/>
      <c r="AX32" s="183"/>
      <c r="AY32" s="183"/>
      <c r="AZ32" s="183"/>
      <c r="BA32" s="19" t="s">
        <v>5</v>
      </c>
      <c r="BB32" s="8"/>
    </row>
    <row r="33" spans="1:84" ht="3.75" customHeight="1" x14ac:dyDescent="0.2">
      <c r="A33" s="6"/>
      <c r="B33" s="7"/>
      <c r="C33" s="7"/>
      <c r="D33" s="7"/>
      <c r="E33" s="7"/>
      <c r="F33" s="7"/>
      <c r="G33" s="7"/>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50"/>
      <c r="AU33" s="50"/>
      <c r="AV33" s="50"/>
      <c r="AW33" s="50"/>
      <c r="AX33" s="50"/>
      <c r="AY33" s="50"/>
      <c r="AZ33" s="50"/>
      <c r="BA33" s="50"/>
      <c r="BB33" s="51"/>
    </row>
    <row r="34" spans="1:84" x14ac:dyDescent="0.2">
      <c r="A34" s="6"/>
      <c r="B34" s="13" t="s">
        <v>12</v>
      </c>
      <c r="C34" s="7"/>
      <c r="D34" s="7"/>
      <c r="E34" s="7"/>
      <c r="F34" s="7"/>
      <c r="G34" s="50"/>
      <c r="H34" s="164" t="str">
        <f>IF(WQCheck,"(does not meet WQ Treatment Standard)","")</f>
        <v/>
      </c>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1"/>
    </row>
    <row r="35" spans="1:84" ht="3.75" customHeight="1" x14ac:dyDescent="0.2">
      <c r="A35" s="6"/>
      <c r="B35" s="7"/>
      <c r="C35" s="7"/>
      <c r="D35" s="7"/>
      <c r="E35" s="7"/>
      <c r="F35" s="7"/>
      <c r="G35" s="7"/>
      <c r="H35" s="7"/>
      <c r="I35" s="7"/>
      <c r="J35" s="7"/>
      <c r="K35" s="7"/>
      <c r="L35" s="7"/>
      <c r="M35" s="7"/>
      <c r="N35" s="7"/>
      <c r="O35" s="7"/>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0"/>
      <c r="AS35" s="50"/>
      <c r="AT35" s="50"/>
      <c r="AU35" s="50"/>
      <c r="AV35" s="50"/>
      <c r="AW35" s="50"/>
      <c r="AX35" s="50"/>
      <c r="AY35" s="50"/>
      <c r="AZ35" s="50"/>
      <c r="BA35" s="50"/>
      <c r="BB35" s="51"/>
    </row>
    <row r="36" spans="1:84" x14ac:dyDescent="0.2">
      <c r="A36" s="6"/>
      <c r="B36" s="7"/>
      <c r="C36" s="14" t="s">
        <v>115</v>
      </c>
      <c r="D36" s="7"/>
      <c r="E36" s="7"/>
      <c r="F36" s="7"/>
      <c r="G36" s="7"/>
      <c r="H36" s="7"/>
      <c r="I36" s="7"/>
      <c r="J36" s="7"/>
      <c r="K36" s="7"/>
      <c r="L36" s="7"/>
      <c r="M36" s="7"/>
      <c r="N36" s="7"/>
      <c r="O36" s="7"/>
      <c r="P36" s="1" t="s">
        <v>116</v>
      </c>
      <c r="Q36" s="7"/>
      <c r="R36" s="7"/>
      <c r="S36" s="7"/>
      <c r="T36" s="7"/>
      <c r="U36" s="7"/>
      <c r="V36" s="7"/>
      <c r="W36" s="7"/>
      <c r="X36" s="7"/>
      <c r="Y36" s="7"/>
      <c r="Z36" s="173"/>
      <c r="AA36" s="173"/>
      <c r="AB36" s="173"/>
      <c r="AC36" s="173"/>
      <c r="AD36" s="19" t="s">
        <v>5</v>
      </c>
      <c r="AE36" s="19"/>
      <c r="AF36" s="22" t="s">
        <v>42</v>
      </c>
      <c r="AG36" s="19"/>
      <c r="AH36" s="184" t="str">
        <f>IF(Standard="","Select performance standard",IF(Standard=WQ,"NA to WQ Treatment Standard",100%))</f>
        <v>Select performance standard</v>
      </c>
      <c r="AI36" s="184"/>
      <c r="AJ36" s="184"/>
      <c r="AK36" s="184"/>
      <c r="AL36" s="184"/>
      <c r="AM36" s="184"/>
      <c r="AN36" s="184"/>
      <c r="AO36" s="184"/>
      <c r="AP36" s="184"/>
      <c r="AQ36" s="184"/>
      <c r="AR36" s="184"/>
      <c r="AS36" s="19"/>
      <c r="AT36" s="22" t="str">
        <f>"="</f>
        <v>=</v>
      </c>
      <c r="AU36" s="19"/>
      <c r="AV36" s="183" t="str">
        <f>IFERROR(IF(Z36="","",Z36*AH36),"")</f>
        <v/>
      </c>
      <c r="AW36" s="183"/>
      <c r="AX36" s="183"/>
      <c r="AY36" s="183"/>
      <c r="AZ36" s="183"/>
      <c r="BA36" s="19" t="s">
        <v>5</v>
      </c>
      <c r="BB36" s="8"/>
    </row>
    <row r="37" spans="1:84" ht="22.5" customHeight="1" x14ac:dyDescent="0.2">
      <c r="A37" s="6"/>
      <c r="B37" s="7"/>
      <c r="C37" s="171" t="str">
        <f>IF(Z36&gt;0,IF(Standard="","","Requirements for full dispersion are difficult to achieve (e.g., developments must preserve 65% of a site in a forested or native condition and limit the impervious site coverage to 10% in residential settings)."),"")</f>
        <v/>
      </c>
      <c r="D37" s="171"/>
      <c r="E37" s="171"/>
      <c r="F37" s="171"/>
      <c r="G37" s="171"/>
      <c r="H37" s="171"/>
      <c r="I37" s="171"/>
      <c r="J37" s="171"/>
      <c r="K37" s="171"/>
      <c r="L37" s="171"/>
      <c r="M37" s="171"/>
      <c r="N37" s="171"/>
      <c r="O37" s="171"/>
      <c r="P37" s="171"/>
      <c r="Q37" s="171"/>
      <c r="R37" s="171"/>
      <c r="S37" s="171"/>
      <c r="T37" s="171"/>
      <c r="U37" s="171"/>
      <c r="V37" s="171"/>
      <c r="W37" s="171"/>
      <c r="X37" s="171"/>
      <c r="Y37" s="171"/>
      <c r="Z37" s="171"/>
      <c r="AA37" s="171"/>
      <c r="AB37" s="171"/>
      <c r="AC37" s="171"/>
      <c r="AD37" s="171"/>
      <c r="AE37" s="171"/>
      <c r="AF37" s="171"/>
      <c r="AG37" s="171"/>
      <c r="AH37" s="171"/>
      <c r="AI37" s="171"/>
      <c r="AJ37" s="171"/>
      <c r="AK37" s="171"/>
      <c r="AL37" s="171"/>
      <c r="AM37" s="171"/>
      <c r="AN37" s="171"/>
      <c r="AO37" s="171"/>
      <c r="AP37" s="171"/>
      <c r="AQ37" s="171"/>
      <c r="AR37" s="171"/>
      <c r="AS37" s="171"/>
      <c r="AT37" s="171"/>
      <c r="AU37" s="171"/>
      <c r="AV37" s="171"/>
      <c r="AW37" s="171"/>
      <c r="AX37" s="171"/>
      <c r="AY37" s="171"/>
      <c r="AZ37" s="171"/>
      <c r="BA37" s="171"/>
      <c r="BB37" s="8"/>
    </row>
    <row r="38" spans="1:84" x14ac:dyDescent="0.2">
      <c r="A38" s="6"/>
      <c r="B38" s="7"/>
      <c r="C38" s="14" t="s">
        <v>117</v>
      </c>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16"/>
      <c r="AU38" s="7"/>
      <c r="AV38" s="7"/>
      <c r="AW38" s="7"/>
      <c r="AX38" s="7"/>
      <c r="AY38" s="7"/>
      <c r="AZ38" s="7"/>
      <c r="BA38" s="7"/>
      <c r="BB38" s="8"/>
    </row>
    <row r="39" spans="1:84" ht="3.75" customHeight="1" x14ac:dyDescent="0.2">
      <c r="A39" s="6"/>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16"/>
      <c r="AU39" s="7"/>
      <c r="AV39" s="7"/>
      <c r="AW39" s="7"/>
      <c r="AX39" s="7"/>
      <c r="AY39" s="7"/>
      <c r="AZ39" s="7"/>
      <c r="BA39" s="7"/>
      <c r="BB39" s="8"/>
    </row>
    <row r="40" spans="1:84" s="24" customFormat="1" x14ac:dyDescent="0.2">
      <c r="A40" s="18"/>
      <c r="B40" s="19"/>
      <c r="C40" s="19"/>
      <c r="D40" s="19"/>
      <c r="E40" s="19"/>
      <c r="F40" s="19"/>
      <c r="G40" s="19"/>
      <c r="H40" s="19"/>
      <c r="I40" s="19"/>
      <c r="J40" s="19"/>
      <c r="K40" s="19"/>
      <c r="L40" s="19"/>
      <c r="M40" s="19"/>
      <c r="N40" s="19"/>
      <c r="O40" s="1"/>
      <c r="P40" s="1" t="s">
        <v>41</v>
      </c>
      <c r="Q40" s="19"/>
      <c r="R40" s="19"/>
      <c r="S40" s="19"/>
      <c r="T40" s="19"/>
      <c r="U40" s="19"/>
      <c r="V40" s="19"/>
      <c r="W40" s="19"/>
      <c r="X40" s="19"/>
      <c r="Y40" s="21"/>
      <c r="Z40" s="173"/>
      <c r="AA40" s="173"/>
      <c r="AB40" s="173"/>
      <c r="AC40" s="173"/>
      <c r="AD40" s="19" t="s">
        <v>5</v>
      </c>
      <c r="AE40" s="19"/>
      <c r="AF40" s="22" t="s">
        <v>42</v>
      </c>
      <c r="AG40" s="19"/>
      <c r="AH40" s="184" t="str">
        <f>IF(Standard="","Select performance standard",
IF(Standard=WQ,"NA to WQ Treatment Standard",
IF(PastureCheck,0.74,0.76)))</f>
        <v>Select performance standard</v>
      </c>
      <c r="AI40" s="184"/>
      <c r="AJ40" s="184"/>
      <c r="AK40" s="184"/>
      <c r="AL40" s="184"/>
      <c r="AM40" s="184"/>
      <c r="AN40" s="184"/>
      <c r="AO40" s="184"/>
      <c r="AP40" s="184"/>
      <c r="AQ40" s="184"/>
      <c r="AR40" s="184"/>
      <c r="AS40" s="19"/>
      <c r="AT40" s="22" t="str">
        <f>"="</f>
        <v>=</v>
      </c>
      <c r="AU40" s="19"/>
      <c r="AV40" s="183" t="str">
        <f>IFERROR(IF(Z40="","",Z40*AH40),"")</f>
        <v/>
      </c>
      <c r="AW40" s="183"/>
      <c r="AX40" s="183"/>
      <c r="AY40" s="183"/>
      <c r="AZ40" s="183"/>
      <c r="BA40" s="19" t="s">
        <v>5</v>
      </c>
      <c r="BB40" s="23"/>
      <c r="BJ40" s="37"/>
      <c r="BQ40" s="2"/>
      <c r="BR40" s="2"/>
      <c r="BS40" s="2"/>
      <c r="BT40" s="2"/>
      <c r="BU40" s="2"/>
      <c r="BV40" s="2"/>
      <c r="BW40" s="2"/>
      <c r="BX40" s="2"/>
      <c r="BY40" s="2"/>
      <c r="BZ40" s="2"/>
      <c r="CA40" s="2"/>
      <c r="CB40" s="2"/>
      <c r="CC40" s="2"/>
      <c r="CD40" s="2"/>
      <c r="CE40" s="2"/>
      <c r="CF40" s="2"/>
    </row>
    <row r="41" spans="1:84" ht="3.75" customHeight="1" x14ac:dyDescent="0.2">
      <c r="A41" s="6"/>
      <c r="B41" s="7"/>
      <c r="C41" s="14"/>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16"/>
      <c r="AU41" s="7"/>
      <c r="AV41" s="7"/>
      <c r="AW41" s="7"/>
      <c r="AX41" s="7"/>
      <c r="AY41" s="7"/>
      <c r="AZ41" s="7"/>
      <c r="BA41" s="7"/>
      <c r="BB41" s="8"/>
    </row>
    <row r="42" spans="1:84" s="36" customFormat="1" x14ac:dyDescent="0.2">
      <c r="A42" s="75" t="s">
        <v>135</v>
      </c>
      <c r="B42" s="61"/>
      <c r="C42" s="61"/>
      <c r="D42" s="61"/>
      <c r="E42" s="61"/>
      <c r="F42" s="61"/>
      <c r="G42" s="61"/>
      <c r="H42" s="61"/>
      <c r="I42" s="61"/>
      <c r="J42" s="61"/>
      <c r="K42" s="61"/>
      <c r="L42" s="61"/>
      <c r="M42" s="61"/>
      <c r="N42" s="61"/>
      <c r="O42" s="61"/>
      <c r="P42" s="61"/>
      <c r="Q42" s="61"/>
      <c r="R42" s="61"/>
      <c r="S42" s="61"/>
      <c r="T42" s="61"/>
      <c r="U42" s="61"/>
      <c r="V42" s="61"/>
      <c r="W42" s="61"/>
      <c r="X42" s="61" t="s">
        <v>13</v>
      </c>
      <c r="Y42" s="61"/>
      <c r="Z42" s="61"/>
      <c r="AA42" s="61"/>
      <c r="AB42" s="61"/>
      <c r="AC42" s="61"/>
      <c r="AD42" s="61"/>
      <c r="AE42" s="61"/>
      <c r="AF42" s="61"/>
      <c r="AG42" s="61"/>
      <c r="AH42" s="181" t="s">
        <v>18</v>
      </c>
      <c r="AI42" s="181"/>
      <c r="AJ42" s="181"/>
      <c r="AK42" s="181"/>
      <c r="AL42" s="181"/>
      <c r="AM42" s="181"/>
      <c r="AN42" s="181"/>
      <c r="AO42" s="181"/>
      <c r="AP42" s="181"/>
      <c r="AQ42" s="181"/>
      <c r="AR42" s="181"/>
      <c r="AS42" s="61"/>
      <c r="AT42" s="61"/>
      <c r="AU42" s="61"/>
      <c r="AV42" s="181" t="s">
        <v>14</v>
      </c>
      <c r="AW42" s="181"/>
      <c r="AX42" s="181"/>
      <c r="AY42" s="181"/>
      <c r="AZ42" s="181"/>
      <c r="BA42" s="181"/>
      <c r="BB42" s="62"/>
      <c r="BD42" s="121" t="s">
        <v>79</v>
      </c>
      <c r="BE42" s="122" t="s">
        <v>73</v>
      </c>
      <c r="BF42" s="122" t="s">
        <v>74</v>
      </c>
      <c r="BG42" s="122" t="s">
        <v>78</v>
      </c>
      <c r="BH42" s="122" t="s">
        <v>14</v>
      </c>
      <c r="BI42" s="122" t="s">
        <v>81</v>
      </c>
      <c r="BJ42" s="122" t="s">
        <v>13</v>
      </c>
    </row>
    <row r="43" spans="1:84" ht="3.75" customHeight="1" x14ac:dyDescent="0.2">
      <c r="A43" s="6"/>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8"/>
    </row>
    <row r="44" spans="1:84" x14ac:dyDescent="0.2">
      <c r="A44" s="6"/>
      <c r="B44" s="13" t="s">
        <v>21</v>
      </c>
      <c r="C44" s="14"/>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8"/>
    </row>
    <row r="45" spans="1:84" ht="3.75" customHeight="1" x14ac:dyDescent="0.2">
      <c r="A45" s="6"/>
      <c r="B45" s="14"/>
      <c r="C45" s="14"/>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176" t="str">
        <f>IF(Standard="","Select performance standard",IF(K48="","Enter contributing area",IF(K52="","Select ponding depth",IF(K54="","Select infiltration rate",IF(K56="","Select sideslopes",
IFERROR(_xlfn.XLOOKUP(MIN(BH48,BH50,BH52),BH48:BH52,BG48:BG52),
IF(PeakCheck,BI52,IF(PastureCheck,BI50,IF(WQCheck,BI48,"")))))))))</f>
        <v>Select performance standard</v>
      </c>
      <c r="AI45" s="176"/>
      <c r="AJ45" s="176"/>
      <c r="AK45" s="176"/>
      <c r="AL45" s="176"/>
      <c r="AM45" s="176"/>
      <c r="AN45" s="176"/>
      <c r="AO45" s="176"/>
      <c r="AP45" s="176"/>
      <c r="AQ45" s="176"/>
      <c r="AR45" s="176"/>
      <c r="AS45" s="7"/>
      <c r="AT45" s="7"/>
      <c r="AU45" s="7"/>
      <c r="AV45" s="7"/>
      <c r="AW45" s="7"/>
      <c r="AX45" s="7"/>
      <c r="AY45" s="7"/>
      <c r="AZ45" s="7"/>
      <c r="BA45" s="7"/>
      <c r="BB45" s="8"/>
    </row>
    <row r="46" spans="1:84" ht="12" customHeight="1" x14ac:dyDescent="0.2">
      <c r="A46" s="6"/>
      <c r="B46" s="14"/>
      <c r="C46" s="14" t="s">
        <v>235</v>
      </c>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176"/>
      <c r="AI46" s="176"/>
      <c r="AJ46" s="176"/>
      <c r="AK46" s="176"/>
      <c r="AL46" s="176"/>
      <c r="AM46" s="176"/>
      <c r="AN46" s="176"/>
      <c r="AO46" s="176"/>
      <c r="AP46" s="176"/>
      <c r="AQ46" s="176"/>
      <c r="AR46" s="176"/>
      <c r="AS46" s="7"/>
      <c r="AT46" s="7"/>
      <c r="AU46" s="7"/>
      <c r="AV46" s="7"/>
      <c r="AW46" s="7"/>
      <c r="AX46" s="7"/>
      <c r="AY46" s="7"/>
      <c r="AZ46" s="7"/>
      <c r="BA46" s="7"/>
      <c r="BB46" s="8"/>
      <c r="BD46" s="36" t="str">
        <f>C46</f>
        <v>Infiltrating Bioretention without Underdrain4</v>
      </c>
      <c r="BE46" s="24"/>
      <c r="BF46" s="24"/>
      <c r="BG46" s="24"/>
      <c r="BH46" s="24"/>
      <c r="BI46" s="24"/>
    </row>
    <row r="47" spans="1:84" ht="3.75" customHeight="1" x14ac:dyDescent="0.2">
      <c r="A47" s="6"/>
      <c r="B47" s="14"/>
      <c r="C47" s="14"/>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176"/>
      <c r="AI47" s="176"/>
      <c r="AJ47" s="176"/>
      <c r="AK47" s="176"/>
      <c r="AL47" s="176"/>
      <c r="AM47" s="176"/>
      <c r="AN47" s="176"/>
      <c r="AO47" s="176"/>
      <c r="AP47" s="176"/>
      <c r="AQ47" s="176"/>
      <c r="AR47" s="176"/>
      <c r="AS47" s="7"/>
      <c r="AT47" s="7"/>
      <c r="AU47" s="7"/>
      <c r="AV47" s="7"/>
      <c r="AW47" s="7"/>
      <c r="AX47" s="7"/>
      <c r="AY47" s="7"/>
      <c r="AZ47" s="7"/>
      <c r="BA47" s="7"/>
      <c r="BB47" s="8"/>
      <c r="BD47" s="24"/>
      <c r="BE47" s="24"/>
      <c r="BF47" s="24"/>
      <c r="BG47" s="24"/>
      <c r="BH47" s="24"/>
      <c r="BI47" s="24"/>
    </row>
    <row r="48" spans="1:84" s="24" customFormat="1" x14ac:dyDescent="0.2">
      <c r="A48" s="18"/>
      <c r="B48" s="20"/>
      <c r="C48" s="20"/>
      <c r="D48" s="76" t="s">
        <v>19</v>
      </c>
      <c r="E48" s="76"/>
      <c r="F48" s="19"/>
      <c r="G48" s="19"/>
      <c r="H48" s="19"/>
      <c r="I48" s="19"/>
      <c r="J48" s="19"/>
      <c r="K48" s="173"/>
      <c r="L48" s="173"/>
      <c r="M48" s="173"/>
      <c r="N48" s="173"/>
      <c r="O48" s="19" t="s">
        <v>5</v>
      </c>
      <c r="P48" s="19"/>
      <c r="Q48" s="1" t="s">
        <v>43</v>
      </c>
      <c r="R48" s="19"/>
      <c r="S48" s="19"/>
      <c r="T48" s="19"/>
      <c r="U48" s="19"/>
      <c r="V48" s="19"/>
      <c r="W48" s="19"/>
      <c r="X48" s="19"/>
      <c r="Y48" s="21" t="str">
        <f>IFERROR(IF(AND(AH45=BG50,BF50&gt;0),"[ ",""),"")</f>
        <v/>
      </c>
      <c r="Z48" s="173"/>
      <c r="AA48" s="173"/>
      <c r="AB48" s="173"/>
      <c r="AC48" s="173"/>
      <c r="AD48" s="19" t="s">
        <v>5</v>
      </c>
      <c r="AE48" s="19"/>
      <c r="AF48" s="22" t="str">
        <f>IFERROR(IF(AH45=BG48,IF(BF48=0,"÷",IF(BF48&gt;0,"-","+")),
IF(AH45=BG50,IF(BF50=0,"÷",IF(BF50&gt;0,"-","+")),
IF(AH45=BG52,IF(BF52=0,"÷",IF(BF52&gt;0,"-","+")),":"))),":")</f>
        <v>:</v>
      </c>
      <c r="AG48" s="19"/>
      <c r="AH48" s="177"/>
      <c r="AI48" s="177"/>
      <c r="AJ48" s="177"/>
      <c r="AK48" s="177"/>
      <c r="AL48" s="177"/>
      <c r="AM48" s="177"/>
      <c r="AN48" s="177"/>
      <c r="AO48" s="177"/>
      <c r="AP48" s="177"/>
      <c r="AQ48" s="177"/>
      <c r="AR48" s="177"/>
      <c r="AS48" s="19"/>
      <c r="AT48" s="22" t="s">
        <v>108</v>
      </c>
      <c r="AU48" s="19"/>
      <c r="AV48" s="183" t="str">
        <f>IF(OR(Standard="",K48=""),"",IFERROR(MIN(IF(Standard=WQ,K50,K48),BH48,BH50,BH52),""))</f>
        <v/>
      </c>
      <c r="AW48" s="183"/>
      <c r="AX48" s="183"/>
      <c r="AY48" s="183"/>
      <c r="AZ48" s="183"/>
      <c r="BA48" s="19" t="s">
        <v>5</v>
      </c>
      <c r="BB48" s="23"/>
      <c r="BD48" s="24" t="s">
        <v>72</v>
      </c>
      <c r="BE48" s="37" t="e">
        <f>INDEX('Sizing Factors'!$H:$H,MATCH(C46&amp;K56&amp;K52&amp;K54&amp;IF(K50&lt;=2000,"02000",IF(K50&lt;=10000,"200010000","x"))&amp;$BD$48,'Sizing Factors'!$L:$L,0))</f>
        <v>#N/A</v>
      </c>
      <c r="BF48" s="37" t="e">
        <f>INDEX('Sizing Factors'!$I:$I,MATCH(C46&amp;K56&amp;K52&amp;K54&amp;IF(K50&lt;=2000,"02000",IF(K50&lt;=10000,"200010000","x"))&amp;$BD$48,'Sizing Factors'!$L:$L,0))</f>
        <v>#N/A</v>
      </c>
      <c r="BG48" s="37" t="e">
        <f>IF(BF48=0,
BE48*100&amp;"%",
ABS(BF48)&amp;" ] ÷ "&amp;BE48)</f>
        <v>#N/A</v>
      </c>
      <c r="BH48" s="38" t="str">
        <f>IF(WQCheck, MAX((Z48-BF48)/BE48,0),"")</f>
        <v/>
      </c>
      <c r="BI48" s="41" t="e">
        <f>IF(K50&gt;10000,"Not applicable for contributing area &gt; 10,000 sf",INDEX('Sizing Factors'!$J:$J,MATCH(C46&amp;K56&amp;K52&amp;K54&amp;IF(K50&lt;=2000,"02000",IF(K50&lt;=10000,"200010000","x"))&amp;$BD$48,'Sizing Factors'!$L:$L,0)))</f>
        <v>#N/A</v>
      </c>
      <c r="BJ48" s="37" t="str">
        <f>IF(WQCheck,ROUNDUP(K50*BE48+BF48,0),"")</f>
        <v/>
      </c>
      <c r="BK48" s="2"/>
      <c r="BL48" s="2"/>
      <c r="BM48" s="2"/>
      <c r="BN48" s="2"/>
      <c r="BO48" s="2"/>
      <c r="BP48" s="2"/>
      <c r="BQ48" s="2"/>
      <c r="BR48" s="2"/>
      <c r="BS48" s="2"/>
      <c r="BT48" s="2"/>
      <c r="BU48" s="2"/>
      <c r="BV48" s="2"/>
      <c r="BW48" s="2"/>
      <c r="BX48" s="2"/>
      <c r="BY48" s="2"/>
      <c r="BZ48" s="2"/>
      <c r="CA48" s="2"/>
      <c r="CB48" s="2"/>
      <c r="CC48" s="2"/>
      <c r="CD48" s="2"/>
      <c r="CE48" s="2"/>
      <c r="CF48" s="2"/>
    </row>
    <row r="49" spans="1:84" ht="3.75" customHeight="1" x14ac:dyDescent="0.2">
      <c r="A49" s="6"/>
      <c r="B49" s="14"/>
      <c r="C49" s="14"/>
      <c r="D49" s="73"/>
      <c r="E49" s="73"/>
      <c r="F49" s="7"/>
      <c r="G49" s="7"/>
      <c r="H49" s="7"/>
      <c r="I49" s="7"/>
      <c r="J49" s="7"/>
      <c r="K49" s="7"/>
      <c r="L49" s="7"/>
      <c r="M49" s="7"/>
      <c r="N49" s="7"/>
      <c r="O49" s="7"/>
      <c r="P49" s="7"/>
      <c r="Q49" s="9"/>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8"/>
      <c r="BD49" s="24"/>
      <c r="BE49" s="24"/>
      <c r="BF49" s="24"/>
      <c r="BG49" s="24"/>
      <c r="BH49" s="24"/>
      <c r="BI49" s="24"/>
    </row>
    <row r="50" spans="1:84" s="24" customFormat="1" ht="12" customHeight="1" x14ac:dyDescent="0.2">
      <c r="A50" s="18"/>
      <c r="B50" s="20"/>
      <c r="C50" s="20"/>
      <c r="D50" s="172" t="s">
        <v>224</v>
      </c>
      <c r="E50" s="172"/>
      <c r="F50" s="172"/>
      <c r="G50" s="172"/>
      <c r="H50" s="172"/>
      <c r="I50" s="172"/>
      <c r="J50" s="172"/>
      <c r="K50" s="173"/>
      <c r="L50" s="173"/>
      <c r="M50" s="173"/>
      <c r="N50" s="173"/>
      <c r="O50" s="19" t="s">
        <v>5</v>
      </c>
      <c r="P50" s="19"/>
      <c r="Q50" s="171" t="str">
        <f>IF(K48="","",
IFERROR(IF(AND(Z48&lt;&gt;MAX(BJ50,BJ52), MAX(BJ50,BJ52)&gt;0),"Bioretention facility to meet Flow Control Standard(s) is "&amp;MAX(BJ50,BJ52)&amp;" sf" &amp; CHAR(10),""),"")&amp;
IFERROR(IF(AND(Z48&lt;&gt;BJ48,BJ48&lt;&gt;""),"Bioretention facility to meet WQ Treatment Standard is "&amp;BJ48 &amp;" sf",""),""))</f>
        <v/>
      </c>
      <c r="R50" s="171"/>
      <c r="S50" s="171"/>
      <c r="T50" s="171"/>
      <c r="U50" s="171"/>
      <c r="V50" s="171"/>
      <c r="W50" s="171"/>
      <c r="X50" s="171"/>
      <c r="Y50" s="171"/>
      <c r="Z50" s="171"/>
      <c r="AA50" s="171"/>
      <c r="AB50" s="171"/>
      <c r="AC50" s="171"/>
      <c r="AD50" s="171"/>
      <c r="AE50" s="171"/>
      <c r="AF50" s="171"/>
      <c r="AG50" s="171"/>
      <c r="AH50" s="171"/>
      <c r="AI50" s="171"/>
      <c r="AJ50" s="171"/>
      <c r="AK50" s="171"/>
      <c r="AL50" s="165"/>
      <c r="AM50" s="165"/>
      <c r="AN50" s="165"/>
      <c r="AO50" s="165"/>
      <c r="AP50" s="165"/>
      <c r="AQ50" s="165"/>
      <c r="AR50" s="80" t="str">
        <f>IF(WQCheck,"PGHS Area Managed","")</f>
        <v/>
      </c>
      <c r="AS50" s="165"/>
      <c r="AT50" s="81" t="str">
        <f>IF(WQCheck,"=","")</f>
        <v/>
      </c>
      <c r="AU50" s="165"/>
      <c r="AV50" s="207" t="str">
        <f>IFERROR(IF(AND(WQCheck,K50&gt;0),MIN(BH48,K50),""),"")</f>
        <v/>
      </c>
      <c r="AW50" s="207"/>
      <c r="AX50" s="207"/>
      <c r="AY50" s="207"/>
      <c r="AZ50" s="207"/>
      <c r="BA50" s="19" t="str">
        <f>IF(WQCheck,"sf","")</f>
        <v/>
      </c>
      <c r="BB50" s="23"/>
      <c r="BD50" s="24" t="s">
        <v>7</v>
      </c>
      <c r="BE50" s="37" t="e">
        <f>INDEX('Sizing Factors'!$H:$H,MATCH(C46&amp;K56&amp;K52&amp;K54&amp;IF(K48&lt;=2000,"02000",IF(K48&lt;=10000,"200010000","x"))&amp;$BD$50,'Sizing Factors'!$L:$L,0))</f>
        <v>#N/A</v>
      </c>
      <c r="BF50" s="37" t="e">
        <f>INDEX('Sizing Factors'!$I:$I,MATCH(C46&amp;K56&amp;K52&amp;K54&amp;IF(K48&lt;=2000,"02000",IF(K48&lt;=10000,"200010000","x"))&amp;$BD$50,'Sizing Factors'!$L:$L,0))</f>
        <v>#N/A</v>
      </c>
      <c r="BG50" s="37" t="e">
        <f>IF(BF50=0,
BE50*100&amp;"%",
ABS(BF50)&amp;" ] ÷ "&amp;BE50)</f>
        <v>#N/A</v>
      </c>
      <c r="BH50" s="38" t="str">
        <f>IF(PastureCheck,MAX((Z48-BF50)/BE50,0),"")</f>
        <v/>
      </c>
      <c r="BI50" s="41" t="e">
        <f>IF(K48&gt;10000,"Not applicable for contributing area &gt; 10,000 sf",INDEX('Sizing Factors'!$J:$J,MATCH(C46&amp;K56&amp;K52&amp;K54&amp;IF(K48&lt;=2000,"02000",IF(K48&lt;=10000,"200010000","x"))&amp;$BD$50,'Sizing Factors'!$L:$L,0)))</f>
        <v>#N/A</v>
      </c>
      <c r="BJ50" s="37" t="str">
        <f>IF(PastureCheck,ROUNDUP(K48*BE50+BF50,0),"")</f>
        <v/>
      </c>
      <c r="BK50" s="2"/>
      <c r="BL50" s="2"/>
      <c r="BM50" s="2"/>
      <c r="BN50" s="2"/>
      <c r="BO50" s="2"/>
      <c r="BP50" s="2"/>
      <c r="BQ50" s="2"/>
      <c r="BR50" s="2"/>
      <c r="BS50" s="2"/>
      <c r="BT50" s="2"/>
      <c r="BU50" s="2"/>
      <c r="BV50" s="2"/>
      <c r="BW50" s="2"/>
      <c r="BX50" s="2"/>
      <c r="BY50" s="2"/>
      <c r="BZ50" s="2"/>
      <c r="CA50" s="2"/>
      <c r="CB50" s="2"/>
      <c r="CC50" s="2"/>
      <c r="CD50" s="2"/>
      <c r="CE50" s="2"/>
      <c r="CF50" s="2"/>
    </row>
    <row r="51" spans="1:84" ht="3.75" customHeight="1" x14ac:dyDescent="0.2">
      <c r="A51" s="6"/>
      <c r="B51" s="14"/>
      <c r="C51" s="14"/>
      <c r="D51" s="73"/>
      <c r="E51" s="73"/>
      <c r="F51" s="7"/>
      <c r="G51" s="7"/>
      <c r="H51" s="7"/>
      <c r="I51" s="7"/>
      <c r="J51" s="7"/>
      <c r="K51" s="7"/>
      <c r="L51" s="7"/>
      <c r="M51" s="7"/>
      <c r="N51" s="7"/>
      <c r="O51" s="7"/>
      <c r="P51" s="7"/>
      <c r="Q51" s="171"/>
      <c r="R51" s="171"/>
      <c r="S51" s="171"/>
      <c r="T51" s="171"/>
      <c r="U51" s="171"/>
      <c r="V51" s="171"/>
      <c r="W51" s="171"/>
      <c r="X51" s="171"/>
      <c r="Y51" s="171"/>
      <c r="Z51" s="171"/>
      <c r="AA51" s="171"/>
      <c r="AB51" s="171"/>
      <c r="AC51" s="171"/>
      <c r="AD51" s="171"/>
      <c r="AE51" s="171"/>
      <c r="AF51" s="171"/>
      <c r="AG51" s="171"/>
      <c r="AH51" s="171"/>
      <c r="AI51" s="171"/>
      <c r="AJ51" s="171"/>
      <c r="AK51" s="171"/>
      <c r="AL51" s="7"/>
      <c r="AM51" s="7"/>
      <c r="AN51" s="7"/>
      <c r="AO51" s="7"/>
      <c r="AP51" s="7"/>
      <c r="AQ51" s="7"/>
      <c r="AR51" s="7"/>
      <c r="AS51" s="7"/>
      <c r="AT51" s="7"/>
      <c r="AU51" s="7"/>
      <c r="AV51" s="7"/>
      <c r="AW51" s="7"/>
      <c r="AX51" s="7"/>
      <c r="AY51" s="7"/>
      <c r="AZ51" s="7"/>
      <c r="BA51" s="7"/>
      <c r="BB51" s="8"/>
      <c r="BD51" s="24"/>
      <c r="BE51" s="37"/>
      <c r="BF51" s="37"/>
      <c r="BG51" s="37"/>
      <c r="BH51" s="37"/>
      <c r="BI51" s="37"/>
    </row>
    <row r="52" spans="1:84" s="24" customFormat="1" x14ac:dyDescent="0.2">
      <c r="A52" s="18"/>
      <c r="B52" s="20"/>
      <c r="C52" s="20"/>
      <c r="D52" s="76" t="s">
        <v>20</v>
      </c>
      <c r="E52" s="76"/>
      <c r="F52" s="19"/>
      <c r="G52" s="19"/>
      <c r="H52" s="19"/>
      <c r="I52" s="19"/>
      <c r="J52" s="19"/>
      <c r="K52" s="174"/>
      <c r="L52" s="174"/>
      <c r="M52" s="174"/>
      <c r="N52" s="174"/>
      <c r="O52" s="19" t="s">
        <v>44</v>
      </c>
      <c r="P52" s="19"/>
      <c r="Q52" s="171"/>
      <c r="R52" s="171"/>
      <c r="S52" s="171"/>
      <c r="T52" s="171"/>
      <c r="U52" s="171"/>
      <c r="V52" s="171"/>
      <c r="W52" s="171"/>
      <c r="X52" s="171"/>
      <c r="Y52" s="171"/>
      <c r="Z52" s="171"/>
      <c r="AA52" s="171"/>
      <c r="AB52" s="171"/>
      <c r="AC52" s="171"/>
      <c r="AD52" s="171"/>
      <c r="AE52" s="171"/>
      <c r="AF52" s="171"/>
      <c r="AG52" s="171"/>
      <c r="AH52" s="171"/>
      <c r="AI52" s="171"/>
      <c r="AJ52" s="171"/>
      <c r="AK52" s="171"/>
      <c r="AL52" s="19"/>
      <c r="AM52" s="19"/>
      <c r="AN52" s="19"/>
      <c r="AO52" s="19"/>
      <c r="AP52" s="19"/>
      <c r="AQ52" s="19"/>
      <c r="AR52" s="19"/>
      <c r="AS52" s="19"/>
      <c r="AT52" s="19"/>
      <c r="AU52" s="19"/>
      <c r="AV52" s="19"/>
      <c r="AW52" s="19"/>
      <c r="AX52" s="19"/>
      <c r="AY52" s="19"/>
      <c r="AZ52" s="19"/>
      <c r="BA52" s="19"/>
      <c r="BB52" s="23"/>
      <c r="BD52" s="24" t="s">
        <v>71</v>
      </c>
      <c r="BE52" s="37" t="e">
        <f>IF(K48&gt;10000,"NA",INDEX('Sizing Factors'!$H:$H,MATCH(C46&amp;K56&amp;K52&amp;K54&amp;$BD$52,'Sizing Factors'!$L:$L,0)))</f>
        <v>#N/A</v>
      </c>
      <c r="BF52" s="37" t="e">
        <f>INDEX('Sizing Factors'!$I:$I,MATCH(C46&amp;K56&amp;K52&amp;K54&amp;$BD$52,'Sizing Factors'!$L:$L,0))</f>
        <v>#N/A</v>
      </c>
      <c r="BG52" s="37" t="e">
        <f>IF(BF52=0,
BE52*100&amp;"%",
BF52&amp;" ] ÷ "&amp;BE52)</f>
        <v>#N/A</v>
      </c>
      <c r="BH52" s="38" t="str">
        <f>IF(PeakCheck,(Z48-BF52)/BE52,"")</f>
        <v/>
      </c>
      <c r="BI52" s="41" t="e">
        <f>IF(K48&gt;10000,"Not applicable for contributing area &gt; 10,000 sf",INDEX('Sizing Factors'!$J:$J,MATCH(C46&amp;K56&amp;K52&amp;K54&amp;$BD$52,'Sizing Factors'!$L:$L,0)))</f>
        <v>#N/A</v>
      </c>
      <c r="BJ52" s="37" t="str">
        <f>IF(PeakCheck,ROUNDUP(K48*BE52+BF52,0),"")</f>
        <v/>
      </c>
      <c r="BK52" s="2"/>
      <c r="BL52" s="2"/>
      <c r="BM52" s="2"/>
      <c r="BN52" s="2"/>
      <c r="BO52" s="2"/>
      <c r="BP52" s="2"/>
      <c r="BQ52" s="2"/>
      <c r="BR52" s="2"/>
      <c r="BS52" s="2"/>
      <c r="BT52" s="2"/>
      <c r="BU52" s="2"/>
      <c r="BV52" s="2"/>
      <c r="BW52" s="2"/>
      <c r="BX52" s="2"/>
      <c r="BY52" s="2"/>
      <c r="BZ52" s="2"/>
      <c r="CA52" s="2"/>
      <c r="CB52" s="2"/>
      <c r="CC52" s="2"/>
      <c r="CD52" s="2"/>
      <c r="CE52" s="2"/>
      <c r="CF52" s="2"/>
    </row>
    <row r="53" spans="1:84" ht="3.75" customHeight="1" x14ac:dyDescent="0.2">
      <c r="A53" s="6"/>
      <c r="B53" s="14"/>
      <c r="C53" s="14"/>
      <c r="D53" s="73"/>
      <c r="E53" s="73"/>
      <c r="F53" s="7"/>
      <c r="G53" s="7"/>
      <c r="H53" s="7"/>
      <c r="I53" s="7"/>
      <c r="J53" s="7"/>
      <c r="K53" s="7"/>
      <c r="L53" s="7"/>
      <c r="M53" s="7"/>
      <c r="N53" s="7"/>
      <c r="O53" s="7"/>
      <c r="P53" s="7"/>
      <c r="Q53" s="9"/>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8"/>
      <c r="BD53" s="24"/>
      <c r="BE53" s="24"/>
      <c r="BF53" s="24"/>
      <c r="BG53" s="24"/>
      <c r="BH53" s="24"/>
      <c r="BI53" s="24"/>
    </row>
    <row r="54" spans="1:84" s="24" customFormat="1" ht="12" customHeight="1" x14ac:dyDescent="0.2">
      <c r="A54" s="18"/>
      <c r="B54" s="20"/>
      <c r="C54" s="20"/>
      <c r="D54" s="76" t="s">
        <v>138</v>
      </c>
      <c r="E54" s="76"/>
      <c r="F54" s="19"/>
      <c r="G54" s="19"/>
      <c r="H54" s="19"/>
      <c r="I54" s="19"/>
      <c r="J54" s="19"/>
      <c r="K54" s="174"/>
      <c r="L54" s="174"/>
      <c r="M54" s="174"/>
      <c r="N54" s="174"/>
      <c r="O54" s="19" t="s">
        <v>45</v>
      </c>
      <c r="P54" s="19"/>
      <c r="Q54" s="1"/>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23"/>
      <c r="BJ54" s="37"/>
      <c r="BP54" s="2"/>
      <c r="BQ54" s="2"/>
      <c r="BR54" s="2"/>
      <c r="BS54" s="2"/>
      <c r="BT54" s="2"/>
      <c r="BU54" s="2"/>
      <c r="BV54" s="2"/>
      <c r="BW54" s="2"/>
    </row>
    <row r="55" spans="1:84" ht="3.75" customHeight="1" x14ac:dyDescent="0.2">
      <c r="A55" s="6"/>
      <c r="B55" s="14"/>
      <c r="C55" s="14"/>
      <c r="D55" s="73"/>
      <c r="E55" s="73"/>
      <c r="F55" s="7"/>
      <c r="G55" s="7"/>
      <c r="H55" s="7"/>
      <c r="I55" s="7"/>
      <c r="J55" s="7"/>
      <c r="K55" s="7"/>
      <c r="L55" s="7"/>
      <c r="M55" s="7"/>
      <c r="N55" s="7"/>
      <c r="O55" s="7"/>
      <c r="P55" s="7"/>
      <c r="Q55" s="9"/>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8"/>
      <c r="BD55" s="24"/>
      <c r="BE55" s="24"/>
      <c r="BF55" s="24"/>
      <c r="BG55" s="24"/>
      <c r="BH55" s="24"/>
      <c r="BI55" s="24"/>
    </row>
    <row r="56" spans="1:84" s="24" customFormat="1" ht="12" customHeight="1" x14ac:dyDescent="0.2">
      <c r="A56" s="18"/>
      <c r="B56" s="20"/>
      <c r="C56" s="20"/>
      <c r="D56" s="76" t="s">
        <v>55</v>
      </c>
      <c r="E56" s="76"/>
      <c r="F56" s="19"/>
      <c r="G56" s="19"/>
      <c r="H56" s="19"/>
      <c r="I56" s="19"/>
      <c r="J56" s="19"/>
      <c r="K56" s="174"/>
      <c r="L56" s="174"/>
      <c r="M56" s="174"/>
      <c r="N56" s="174"/>
      <c r="O56" s="19"/>
      <c r="P56" s="19"/>
      <c r="Q56" s="1"/>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23"/>
      <c r="BJ56" s="37"/>
      <c r="BP56" s="2"/>
      <c r="BQ56" s="2"/>
      <c r="BR56" s="2"/>
      <c r="BS56" s="2"/>
      <c r="BT56" s="2"/>
      <c r="BU56" s="2"/>
      <c r="BV56" s="2"/>
      <c r="BW56" s="2"/>
    </row>
    <row r="57" spans="1:84" ht="3.75" customHeight="1" x14ac:dyDescent="0.2">
      <c r="A57" s="6"/>
      <c r="B57" s="14"/>
      <c r="C57" s="14"/>
      <c r="D57" s="73"/>
      <c r="E57" s="73"/>
      <c r="F57" s="7"/>
      <c r="G57" s="7"/>
      <c r="H57" s="7"/>
      <c r="I57" s="7"/>
      <c r="J57" s="7"/>
      <c r="K57" s="7"/>
      <c r="L57" s="7"/>
      <c r="M57" s="7"/>
      <c r="N57" s="7"/>
      <c r="O57" s="7"/>
      <c r="P57" s="7"/>
      <c r="Q57" s="9"/>
      <c r="R57" s="7"/>
      <c r="S57" s="7"/>
      <c r="T57" s="7"/>
      <c r="U57" s="7"/>
      <c r="V57" s="7"/>
      <c r="W57" s="7"/>
      <c r="X57" s="7"/>
      <c r="Y57" s="7"/>
      <c r="Z57" s="7"/>
      <c r="AA57" s="7"/>
      <c r="AB57" s="7"/>
      <c r="AC57" s="7"/>
      <c r="AD57" s="7"/>
      <c r="AE57" s="7"/>
      <c r="AF57" s="7"/>
      <c r="AG57" s="7"/>
      <c r="AH57" s="176" t="str">
        <f>IF(Standard="","Select performance standard",IF(K60="","Enter contributing area",IF(K64="","Select ponding depth",IF(K66="","Select sideslopes",
IFERROR(_xlfn.XLOOKUP(MIN(BH60,BH62,BH64),BH60:BH64,BG60:BG64),
IF(PastureCheck,BI62,IF(PeakCheck,BI64,IF(WQCheck,BI60,""))))))))</f>
        <v>Select performance standard</v>
      </c>
      <c r="AI57" s="176"/>
      <c r="AJ57" s="176"/>
      <c r="AK57" s="176"/>
      <c r="AL57" s="176"/>
      <c r="AM57" s="176"/>
      <c r="AN57" s="176"/>
      <c r="AO57" s="176"/>
      <c r="AP57" s="176"/>
      <c r="AQ57" s="176"/>
      <c r="AR57" s="176"/>
      <c r="AS57" s="7"/>
      <c r="AT57" s="7"/>
      <c r="AU57" s="7"/>
      <c r="AV57" s="7"/>
      <c r="AW57" s="7"/>
      <c r="AX57" s="7"/>
      <c r="AY57" s="7"/>
      <c r="AZ57" s="7"/>
      <c r="BA57" s="7"/>
      <c r="BB57" s="8"/>
      <c r="BD57" s="24"/>
      <c r="BE57" s="24"/>
      <c r="BF57" s="24"/>
      <c r="BG57" s="24"/>
      <c r="BH57" s="24"/>
      <c r="BI57" s="24"/>
      <c r="BK57" s="24"/>
      <c r="BL57" s="24"/>
      <c r="BM57" s="24"/>
      <c r="BN57" s="24"/>
      <c r="BO57" s="24"/>
    </row>
    <row r="58" spans="1:84" ht="12" customHeight="1" x14ac:dyDescent="0.2">
      <c r="A58" s="6"/>
      <c r="B58" s="14"/>
      <c r="C58" s="14" t="s">
        <v>236</v>
      </c>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176"/>
      <c r="AI58" s="176"/>
      <c r="AJ58" s="176"/>
      <c r="AK58" s="176"/>
      <c r="AL58" s="176"/>
      <c r="AM58" s="176"/>
      <c r="AN58" s="176"/>
      <c r="AO58" s="176"/>
      <c r="AP58" s="176"/>
      <c r="AQ58" s="176"/>
      <c r="AR58" s="176"/>
      <c r="AS58" s="7"/>
      <c r="AT58" s="7"/>
      <c r="AU58" s="7"/>
      <c r="AV58" s="7"/>
      <c r="AW58" s="7"/>
      <c r="AX58" s="7"/>
      <c r="AY58" s="7"/>
      <c r="AZ58" s="7"/>
      <c r="BA58" s="7"/>
      <c r="BB58" s="8"/>
      <c r="BD58" s="36" t="str">
        <f>C58</f>
        <v>Infiltrating Bioretention with Underdrain4</v>
      </c>
      <c r="BE58" s="24"/>
      <c r="BF58" s="24"/>
      <c r="BG58" s="24"/>
      <c r="BH58" s="24"/>
      <c r="BI58" s="24"/>
    </row>
    <row r="59" spans="1:84" ht="3.75" customHeight="1" x14ac:dyDescent="0.2">
      <c r="A59" s="6"/>
      <c r="B59" s="14"/>
      <c r="C59" s="14"/>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176"/>
      <c r="AI59" s="176"/>
      <c r="AJ59" s="176"/>
      <c r="AK59" s="176"/>
      <c r="AL59" s="176"/>
      <c r="AM59" s="176"/>
      <c r="AN59" s="176"/>
      <c r="AO59" s="176"/>
      <c r="AP59" s="176"/>
      <c r="AQ59" s="176"/>
      <c r="AR59" s="176"/>
      <c r="AS59" s="7"/>
      <c r="AT59" s="7"/>
      <c r="AU59" s="7"/>
      <c r="AV59" s="7"/>
      <c r="AW59" s="7"/>
      <c r="AX59" s="7"/>
      <c r="AY59" s="7"/>
      <c r="AZ59" s="7"/>
      <c r="BA59" s="7"/>
      <c r="BB59" s="8"/>
      <c r="BD59" s="24"/>
      <c r="BE59" s="24"/>
      <c r="BF59" s="24"/>
      <c r="BG59" s="24"/>
      <c r="BH59" s="24"/>
      <c r="BI59" s="24"/>
    </row>
    <row r="60" spans="1:84" s="24" customFormat="1" x14ac:dyDescent="0.2">
      <c r="A60" s="18"/>
      <c r="B60" s="20"/>
      <c r="C60" s="20"/>
      <c r="D60" s="76" t="s">
        <v>19</v>
      </c>
      <c r="E60" s="76"/>
      <c r="F60" s="19"/>
      <c r="G60" s="19"/>
      <c r="H60" s="19"/>
      <c r="I60" s="19"/>
      <c r="J60" s="19"/>
      <c r="K60" s="173"/>
      <c r="L60" s="173"/>
      <c r="M60" s="173"/>
      <c r="N60" s="173"/>
      <c r="O60" s="19" t="s">
        <v>5</v>
      </c>
      <c r="P60" s="19"/>
      <c r="Q60" s="1" t="s">
        <v>43</v>
      </c>
      <c r="R60" s="19"/>
      <c r="S60" s="19"/>
      <c r="T60" s="19"/>
      <c r="U60" s="19"/>
      <c r="V60" s="19"/>
      <c r="W60" s="19"/>
      <c r="X60" s="19"/>
      <c r="Y60" s="21" t="str">
        <f>IFERROR(IF(AND(AH57=BG62,BF62&gt;0),"[ ",""),"")</f>
        <v/>
      </c>
      <c r="Z60" s="173"/>
      <c r="AA60" s="173"/>
      <c r="AB60" s="173"/>
      <c r="AC60" s="173"/>
      <c r="AD60" s="19" t="s">
        <v>5</v>
      </c>
      <c r="AE60" s="19"/>
      <c r="AF60" s="22" t="str">
        <f>IFERROR(IF(AH57=BG60,IF(BF60=0,"÷",IF(BF60&gt;0,"-","+")),
IF(AH57=BG62,IF(BF62=0,"÷",IF(BF62&gt;0,"-","+")),
IF(AH57=BG64,IF(BF64=0,"÷",IF(BF64&gt;0,"-","+")),":"))),":")</f>
        <v>:</v>
      </c>
      <c r="AG60" s="19"/>
      <c r="AH60" s="177"/>
      <c r="AI60" s="177"/>
      <c r="AJ60" s="177"/>
      <c r="AK60" s="177"/>
      <c r="AL60" s="177"/>
      <c r="AM60" s="177"/>
      <c r="AN60" s="177"/>
      <c r="AO60" s="177"/>
      <c r="AP60" s="177"/>
      <c r="AQ60" s="177"/>
      <c r="AR60" s="177"/>
      <c r="AS60" s="19"/>
      <c r="AT60" s="22" t="s">
        <v>108</v>
      </c>
      <c r="AU60" s="19"/>
      <c r="AV60" s="183" t="str">
        <f>IF(OR(Standard="",K60=""),"",IFERROR(MIN(IF(Standard=WQ,K62,K60),BH60,BH62,BH64),""))</f>
        <v/>
      </c>
      <c r="AW60" s="183"/>
      <c r="AX60" s="183"/>
      <c r="AY60" s="183"/>
      <c r="AZ60" s="183"/>
      <c r="BA60" s="19" t="s">
        <v>5</v>
      </c>
      <c r="BB60" s="23"/>
      <c r="BD60" s="24" t="s">
        <v>72</v>
      </c>
      <c r="BE60" s="37" t="e">
        <f>INDEX('Sizing Factors'!$H:$H,MATCH(C58&amp;K66&amp;K64&amp;
IF(K64&lt;=6,IF(K62&lt;=2000,"02000",IF(K62&lt;=10000,"200010000","x")),IF(K62&lt;=2700,"02700",IF(K62&lt;=10000,"270010000","x")))
&amp; $BD$60,'Sizing Factors'!$L:$L,0))</f>
        <v>#N/A</v>
      </c>
      <c r="BF60" s="37" t="e">
        <f>INDEX('Sizing Factors'!$I:$I,MATCH(C58&amp;K66&amp;K64&amp;IF(K64&lt;=6,IF(K62&lt;=2000,"02000",IF(K62&lt;=10000,"200010000","x")),IF(K62&lt;=2700,"02700",IF(K62&lt;=10000,"270010000","x")))&amp;$BD$60,'Sizing Factors'!$L:$L,0))</f>
        <v>#N/A</v>
      </c>
      <c r="BG60" s="37" t="e">
        <f>IF(BF60=0,
BE60*100&amp;"%",
ABS(BF60)&amp;" ] ÷ "&amp;BE60)</f>
        <v>#N/A</v>
      </c>
      <c r="BH60" s="38" t="str">
        <f>IF(WQCheck, MAX((Z60-BF60)/BE60,0),"")</f>
        <v/>
      </c>
      <c r="BI60" s="41" t="e">
        <f>IF(K62&gt;10000,"Not applicable for contributing area &gt; 10,000 sf",INDEX('Sizing Factors'!$J:$J,MATCH(C58&amp;K66&amp;K64&amp;IF(K64&lt;=6,IF(K62&lt;=2000,"02000",IF(K62&lt;=10000,"200010000","x")),IF(K62&lt;=2700,"02700",IF(K62&lt;=10000,"270010000","x")))&amp;$BD$60,'Sizing Factors'!$L:$L,0)))</f>
        <v>#N/A</v>
      </c>
      <c r="BJ60" s="37" t="str">
        <f>IF(WQCheck,ROUNDUP(K62*BE60+BF60,0),"")</f>
        <v/>
      </c>
      <c r="BK60" s="2"/>
      <c r="BL60" s="2"/>
      <c r="BM60" s="2"/>
      <c r="BN60" s="2"/>
      <c r="BO60" s="2"/>
      <c r="BP60" s="2"/>
      <c r="BQ60" s="2"/>
      <c r="BR60" s="2"/>
      <c r="BS60" s="2"/>
      <c r="BT60" s="2"/>
      <c r="BU60" s="2"/>
      <c r="BV60" s="2"/>
      <c r="BW60" s="2"/>
      <c r="BX60" s="2"/>
      <c r="BY60" s="2"/>
      <c r="BZ60" s="2"/>
      <c r="CA60" s="2"/>
      <c r="CB60" s="2"/>
      <c r="CC60" s="2"/>
      <c r="CD60" s="2"/>
      <c r="CE60" s="2"/>
      <c r="CF60" s="2"/>
    </row>
    <row r="61" spans="1:84" ht="3.75" customHeight="1" x14ac:dyDescent="0.2">
      <c r="A61" s="6"/>
      <c r="B61" s="14"/>
      <c r="C61" s="14"/>
      <c r="D61" s="73"/>
      <c r="E61" s="73"/>
      <c r="F61" s="7"/>
      <c r="G61" s="7"/>
      <c r="H61" s="7"/>
      <c r="I61" s="7"/>
      <c r="J61" s="7"/>
      <c r="K61" s="7"/>
      <c r="L61" s="7"/>
      <c r="M61" s="7"/>
      <c r="N61" s="7"/>
      <c r="O61" s="7"/>
      <c r="P61" s="7"/>
      <c r="Q61" s="9"/>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8"/>
      <c r="BD61" s="24"/>
      <c r="BE61" s="24"/>
      <c r="BF61" s="24"/>
      <c r="BG61" s="24"/>
      <c r="BH61" s="24"/>
      <c r="BI61" s="24"/>
    </row>
    <row r="62" spans="1:84" s="24" customFormat="1" ht="12" customHeight="1" x14ac:dyDescent="0.2">
      <c r="A62" s="18"/>
      <c r="B62" s="20"/>
      <c r="C62" s="20"/>
      <c r="D62" s="172" t="s">
        <v>224</v>
      </c>
      <c r="E62" s="172"/>
      <c r="F62" s="172"/>
      <c r="G62" s="172"/>
      <c r="H62" s="172"/>
      <c r="I62" s="172"/>
      <c r="J62" s="172"/>
      <c r="K62" s="173"/>
      <c r="L62" s="173"/>
      <c r="M62" s="173"/>
      <c r="N62" s="173"/>
      <c r="O62" s="19" t="s">
        <v>5</v>
      </c>
      <c r="P62" s="19"/>
      <c r="Q62" s="171" t="str">
        <f>IF(K60="","",
IFERROR(IF(AND(Z60&lt;&gt;MAX(BJ62,BJ64), MAX(BJ62,BJ64)&gt;0),"Bioretention facility to meet Flow Control Standard(s) is "&amp;MAX(BJ62,BJ64)&amp;" sf" &amp; CHAR(10),""),"")&amp;
IFERROR(IF(AND(Z60&lt;&gt;BJ60,BJ60&lt;&gt;""),"Bioretention facility to meet WQ Treatment Standard is "&amp;BJ60&amp;" sf",""),""))</f>
        <v/>
      </c>
      <c r="R62" s="171"/>
      <c r="S62" s="171"/>
      <c r="T62" s="171"/>
      <c r="U62" s="171"/>
      <c r="V62" s="171"/>
      <c r="W62" s="171"/>
      <c r="X62" s="171"/>
      <c r="Y62" s="171"/>
      <c r="Z62" s="171"/>
      <c r="AA62" s="171"/>
      <c r="AB62" s="171"/>
      <c r="AC62" s="171"/>
      <c r="AD62" s="171"/>
      <c r="AE62" s="171"/>
      <c r="AF62" s="171"/>
      <c r="AG62" s="171"/>
      <c r="AH62" s="171"/>
      <c r="AI62" s="171"/>
      <c r="AJ62" s="171"/>
      <c r="AK62" s="171"/>
      <c r="AL62" s="160"/>
      <c r="AM62" s="160"/>
      <c r="AN62" s="160"/>
      <c r="AO62" s="160"/>
      <c r="AP62" s="160"/>
      <c r="AQ62" s="160"/>
      <c r="AR62" s="80" t="str">
        <f>IF(WQCheck,"PGHS Area Managed","")</f>
        <v/>
      </c>
      <c r="AS62" s="165"/>
      <c r="AT62" s="81" t="str">
        <f>IF(WQCheck,"=","")</f>
        <v/>
      </c>
      <c r="AU62" s="165"/>
      <c r="AV62" s="207" t="str">
        <f>IFERROR(IF(AND(WQCheck,K62&gt;0),MIN(BH60,K62),""),"")</f>
        <v/>
      </c>
      <c r="AW62" s="207"/>
      <c r="AX62" s="207"/>
      <c r="AY62" s="207"/>
      <c r="AZ62" s="207"/>
      <c r="BA62" s="19" t="str">
        <f>IF(WQCheck,"sf","")</f>
        <v/>
      </c>
      <c r="BB62" s="23"/>
      <c r="BD62" s="24" t="s">
        <v>7</v>
      </c>
      <c r="BE62" s="37" t="e">
        <f>INDEX('Sizing Factors'!$H:$H,MATCH(C58&amp;K66&amp;K64&amp;IF(K64&lt;=6,IF(K60&lt;=2000,"02000",IF(K60&lt;=10000,"200010000","x")),IF(K60&lt;=2700,"02700",IF(K60&lt;=10000,"270010000","x")))&amp;$BD$62,'Sizing Factors'!$L:$L,0))</f>
        <v>#N/A</v>
      </c>
      <c r="BF62" s="37" t="e">
        <f>INDEX('Sizing Factors'!$I:$I,MATCH(C58&amp;K66&amp;K64&amp;IF(K64&lt;=6,IF(K60&lt;=2000,"02000",IF(K60&lt;=10000,"200010000","x")),IF(K60&lt;=2700,"02700",IF(K60&lt;=10000,"270010000","x")))&amp;$BD$62,'Sizing Factors'!$L:$L,0))</f>
        <v>#N/A</v>
      </c>
      <c r="BG62" s="37" t="e">
        <f>IF(BF62=0,
BE62*100&amp;"%",
ABS(BF62)&amp;" ] ÷ "&amp;BE62)</f>
        <v>#N/A</v>
      </c>
      <c r="BH62" s="38" t="str">
        <f>IF(PastureCheck,MAX((Z60-BF62)/BE62,0),"")</f>
        <v/>
      </c>
      <c r="BI62" s="41" t="e">
        <f>IF(K60&gt;10000,"Not applicable for contributing area &gt; 10,000 sf",INDEX('Sizing Factors'!$J:$J,MATCH(C58&amp;K66&amp;K64&amp;IF(K64&lt;=6,IF(K60&lt;=2000,"02000",IF(K60&lt;=10000,"200010000","x")),IF(K60&lt;=2700,"02700",IF(K60&lt;=10000,"270010000","x")))&amp;$BD$62,'Sizing Factors'!$L:$L,0)))</f>
        <v>#N/A</v>
      </c>
      <c r="BJ62" s="37" t="str">
        <f>IF(PastureCheck,ROUNDUP(K60*BE62+BF62,0),"")</f>
        <v/>
      </c>
      <c r="BK62" s="2"/>
      <c r="BL62" s="2"/>
      <c r="BM62" s="2"/>
      <c r="BN62" s="2"/>
      <c r="BO62" s="2"/>
      <c r="BP62" s="2"/>
      <c r="BQ62" s="2"/>
      <c r="BR62" s="2"/>
      <c r="BS62" s="2"/>
      <c r="BT62" s="2"/>
      <c r="BU62" s="2"/>
      <c r="BV62" s="2"/>
      <c r="BW62" s="2"/>
      <c r="BX62" s="2"/>
      <c r="BY62" s="2"/>
      <c r="BZ62" s="2"/>
      <c r="CA62" s="2"/>
      <c r="CB62" s="2"/>
      <c r="CC62" s="2"/>
      <c r="CD62" s="2"/>
      <c r="CE62" s="2"/>
      <c r="CF62" s="2"/>
    </row>
    <row r="63" spans="1:84" ht="3.75" customHeight="1" x14ac:dyDescent="0.2">
      <c r="A63" s="6"/>
      <c r="B63" s="14"/>
      <c r="C63" s="14"/>
      <c r="D63" s="73"/>
      <c r="E63" s="73"/>
      <c r="F63" s="7"/>
      <c r="G63" s="7"/>
      <c r="H63" s="7"/>
      <c r="I63" s="7"/>
      <c r="J63" s="7"/>
      <c r="K63" s="7"/>
      <c r="L63" s="7"/>
      <c r="M63" s="7"/>
      <c r="N63" s="7"/>
      <c r="O63" s="7"/>
      <c r="P63" s="7"/>
      <c r="Q63" s="171"/>
      <c r="R63" s="171"/>
      <c r="S63" s="171"/>
      <c r="T63" s="171"/>
      <c r="U63" s="171"/>
      <c r="V63" s="171"/>
      <c r="W63" s="171"/>
      <c r="X63" s="171"/>
      <c r="Y63" s="171"/>
      <c r="Z63" s="171"/>
      <c r="AA63" s="171"/>
      <c r="AB63" s="171"/>
      <c r="AC63" s="171"/>
      <c r="AD63" s="171"/>
      <c r="AE63" s="171"/>
      <c r="AF63" s="171"/>
      <c r="AG63" s="171"/>
      <c r="AH63" s="171"/>
      <c r="AI63" s="171"/>
      <c r="AJ63" s="171"/>
      <c r="AK63" s="171"/>
      <c r="AL63" s="160"/>
      <c r="AM63" s="160"/>
      <c r="AN63" s="160"/>
      <c r="AO63" s="160"/>
      <c r="AP63" s="160"/>
      <c r="AQ63" s="160"/>
      <c r="AR63" s="160"/>
      <c r="AS63" s="160"/>
      <c r="AT63" s="160"/>
      <c r="AU63" s="160"/>
      <c r="AV63" s="160"/>
      <c r="AW63" s="160"/>
      <c r="AX63" s="160"/>
      <c r="AY63" s="160"/>
      <c r="AZ63" s="160"/>
      <c r="BA63" s="7"/>
      <c r="BB63" s="8"/>
      <c r="BD63" s="24"/>
      <c r="BE63" s="37"/>
      <c r="BF63" s="37"/>
      <c r="BG63" s="37"/>
      <c r="BH63" s="37"/>
      <c r="BI63" s="37"/>
    </row>
    <row r="64" spans="1:84" s="24" customFormat="1" x14ac:dyDescent="0.2">
      <c r="A64" s="18"/>
      <c r="B64" s="20"/>
      <c r="C64" s="20"/>
      <c r="D64" s="76" t="s">
        <v>20</v>
      </c>
      <c r="E64" s="76"/>
      <c r="F64" s="19"/>
      <c r="G64" s="19"/>
      <c r="H64" s="19"/>
      <c r="I64" s="19"/>
      <c r="J64" s="19"/>
      <c r="K64" s="174"/>
      <c r="L64" s="174"/>
      <c r="M64" s="174"/>
      <c r="N64" s="174"/>
      <c r="O64" s="19" t="s">
        <v>44</v>
      </c>
      <c r="P64" s="19"/>
      <c r="Q64" s="171"/>
      <c r="R64" s="171"/>
      <c r="S64" s="171"/>
      <c r="T64" s="171"/>
      <c r="U64" s="171"/>
      <c r="V64" s="171"/>
      <c r="W64" s="171"/>
      <c r="X64" s="171"/>
      <c r="Y64" s="171"/>
      <c r="Z64" s="171"/>
      <c r="AA64" s="171"/>
      <c r="AB64" s="171"/>
      <c r="AC64" s="171"/>
      <c r="AD64" s="171"/>
      <c r="AE64" s="171"/>
      <c r="AF64" s="171"/>
      <c r="AG64" s="171"/>
      <c r="AH64" s="171"/>
      <c r="AI64" s="171"/>
      <c r="AJ64" s="171"/>
      <c r="AK64" s="171"/>
      <c r="AL64" s="160"/>
      <c r="AM64" s="160"/>
      <c r="AN64" s="160"/>
      <c r="AO64" s="160"/>
      <c r="AP64" s="160"/>
      <c r="AQ64" s="160"/>
      <c r="AR64" s="160"/>
      <c r="AS64" s="160"/>
      <c r="AT64" s="160"/>
      <c r="AU64" s="160"/>
      <c r="AV64" s="160"/>
      <c r="AW64" s="160"/>
      <c r="AX64" s="160"/>
      <c r="AY64" s="160"/>
      <c r="AZ64" s="160"/>
      <c r="BA64" s="19"/>
      <c r="BB64" s="23"/>
      <c r="BD64" s="24" t="s">
        <v>71</v>
      </c>
      <c r="BE64" s="37" t="e">
        <f>IF(K60&gt;10000,"NA",INDEX('Sizing Factors'!$H:$H,MATCH(C58&amp;K66&amp;K64&amp;IF(K64&lt;=6,IF(K60&lt;=2000,"02000",IF(K60&lt;=10000,"200010000","x")),IF(K60&lt;=2700,"02700",IF(K60&lt;=10000,"270010000","x")))&amp;$BD$64,'Sizing Factors'!$L:$L,0)))</f>
        <v>#N/A</v>
      </c>
      <c r="BF64" s="37" t="e">
        <f>INDEX('Sizing Factors'!$I:$I,MATCH(C58&amp;K66&amp;K64&amp;IF(K64&lt;=6,IF(K60&lt;=2000,"02000",IF(K60&lt;=10000,"200010000","x")),IF(K60&lt;=2700,"02700",IF(K60&lt;=10000,"270010000","x")))&amp;$BD$64,'Sizing Factors'!$L:$L,0))</f>
        <v>#N/A</v>
      </c>
      <c r="BG64" s="37" t="e">
        <f>IF(BF64=0,
BE64*100&amp;"%",
BF64&amp;" ] ÷ "&amp;BE64)</f>
        <v>#N/A</v>
      </c>
      <c r="BH64" s="38" t="str">
        <f>IF(PeakCheck,(Z60-BF64)/BE64,"")</f>
        <v/>
      </c>
      <c r="BI64" s="41" t="e">
        <f>IF(K60&gt;10000,"Not applicable for contributing area &gt; 10,000 sf",INDEX('Sizing Factors'!$J:$J,MATCH(C58&amp;K66&amp;K64&amp;IF(K64&lt;=6,IF(K60&lt;=2000,"02000",IF(K60&lt;=10000,"200010000","x")),IF(K60&lt;=2700,"02700",IF(K60&lt;=10000,"270010000","x")))&amp;$BD$64,'Sizing Factors'!$L:$L,0)))</f>
        <v>#N/A</v>
      </c>
      <c r="BJ64" s="37" t="str">
        <f>IF(PeakCheck,ROUNDUP(K60*BE64+BF64,0),"")</f>
        <v/>
      </c>
      <c r="BK64" s="2"/>
      <c r="BL64" s="2"/>
      <c r="BM64" s="2"/>
      <c r="BN64" s="2"/>
      <c r="BO64" s="2"/>
      <c r="BP64" s="2"/>
      <c r="BQ64" s="2"/>
      <c r="BR64" s="2"/>
      <c r="BS64" s="2"/>
      <c r="BT64" s="2"/>
      <c r="BU64" s="2"/>
      <c r="BV64" s="2"/>
      <c r="BW64" s="2"/>
      <c r="BX64" s="2"/>
      <c r="BY64" s="2"/>
      <c r="BZ64" s="2"/>
      <c r="CA64" s="2"/>
      <c r="CB64" s="2"/>
      <c r="CC64" s="2"/>
      <c r="CD64" s="2"/>
      <c r="CE64" s="2"/>
      <c r="CF64" s="2"/>
    </row>
    <row r="65" spans="1:84" ht="3.75" customHeight="1" x14ac:dyDescent="0.2">
      <c r="A65" s="6"/>
      <c r="B65" s="14"/>
      <c r="C65" s="14"/>
      <c r="D65" s="73"/>
      <c r="E65" s="73"/>
      <c r="F65" s="7"/>
      <c r="G65" s="7"/>
      <c r="H65" s="7"/>
      <c r="I65" s="7"/>
      <c r="J65" s="7"/>
      <c r="K65" s="7"/>
      <c r="L65" s="7"/>
      <c r="M65" s="7"/>
      <c r="N65" s="7"/>
      <c r="O65" s="7"/>
      <c r="P65" s="7"/>
      <c r="Q65" s="9"/>
      <c r="R65" s="7"/>
      <c r="S65" s="7"/>
      <c r="T65" s="7"/>
      <c r="U65" s="7"/>
      <c r="V65" s="7"/>
      <c r="W65" s="7"/>
      <c r="X65" s="7"/>
      <c r="Y65" s="7"/>
      <c r="Z65" s="7"/>
      <c r="AA65" s="7"/>
      <c r="AB65" s="7"/>
      <c r="AC65" s="7"/>
      <c r="AD65" s="7"/>
      <c r="AE65" s="7"/>
      <c r="AF65" s="7"/>
      <c r="AG65" s="7"/>
      <c r="AH65" s="35"/>
      <c r="AI65" s="35"/>
      <c r="AJ65" s="35"/>
      <c r="AK65" s="35"/>
      <c r="AL65" s="35"/>
      <c r="AM65" s="35"/>
      <c r="AN65" s="35"/>
      <c r="AO65" s="35"/>
      <c r="AP65" s="35"/>
      <c r="AQ65" s="35"/>
      <c r="AR65" s="35"/>
      <c r="AS65" s="7"/>
      <c r="AT65" s="7"/>
      <c r="AU65" s="7"/>
      <c r="AV65" s="7"/>
      <c r="AW65" s="7"/>
      <c r="AX65" s="7"/>
      <c r="AY65" s="7"/>
      <c r="AZ65" s="7"/>
      <c r="BA65" s="7"/>
      <c r="BB65" s="8"/>
      <c r="BD65" s="24"/>
      <c r="BE65" s="24"/>
      <c r="BF65" s="24"/>
      <c r="BG65" s="24"/>
      <c r="BH65" s="24"/>
      <c r="BI65" s="24"/>
      <c r="BK65" s="24"/>
      <c r="BL65" s="24"/>
      <c r="BM65" s="24"/>
      <c r="BN65" s="24"/>
      <c r="BO65" s="24"/>
    </row>
    <row r="66" spans="1:84" x14ac:dyDescent="0.2">
      <c r="A66" s="6"/>
      <c r="B66" s="14"/>
      <c r="C66" s="14"/>
      <c r="D66" s="76" t="s">
        <v>55</v>
      </c>
      <c r="E66" s="76"/>
      <c r="F66" s="19"/>
      <c r="G66" s="19"/>
      <c r="H66" s="19"/>
      <c r="I66" s="19"/>
      <c r="J66" s="19"/>
      <c r="K66" s="174"/>
      <c r="L66" s="174"/>
      <c r="M66" s="174"/>
      <c r="N66" s="174"/>
      <c r="O66" s="19"/>
      <c r="P66" s="7"/>
      <c r="Q66" s="9"/>
      <c r="R66" s="7"/>
      <c r="S66" s="7"/>
      <c r="T66" s="7"/>
      <c r="U66" s="7"/>
      <c r="V66" s="7"/>
      <c r="W66" s="7"/>
      <c r="X66" s="7"/>
      <c r="Y66" s="7"/>
      <c r="Z66" s="7"/>
      <c r="AA66" s="7"/>
      <c r="AB66" s="7"/>
      <c r="AC66" s="7"/>
      <c r="AD66" s="7"/>
      <c r="AE66" s="7"/>
      <c r="AF66" s="7"/>
      <c r="AG66" s="7"/>
      <c r="AH66" s="35"/>
      <c r="AI66" s="35"/>
      <c r="AJ66" s="35"/>
      <c r="AK66" s="35"/>
      <c r="AL66" s="35"/>
      <c r="AM66" s="35"/>
      <c r="AN66" s="35"/>
      <c r="AO66" s="35"/>
      <c r="AP66" s="35"/>
      <c r="AQ66" s="35"/>
      <c r="AR66" s="35"/>
      <c r="AS66" s="7"/>
      <c r="AT66" s="7"/>
      <c r="AU66" s="7"/>
      <c r="AV66" s="7"/>
      <c r="AW66" s="7"/>
      <c r="AX66" s="7"/>
      <c r="AY66" s="7"/>
      <c r="AZ66" s="7"/>
      <c r="BA66" s="7"/>
      <c r="BB66" s="8"/>
      <c r="BD66" s="24"/>
      <c r="BE66" s="24"/>
      <c r="BF66" s="24"/>
      <c r="BG66" s="24"/>
      <c r="BH66" s="24"/>
      <c r="BI66" s="24"/>
      <c r="BK66" s="24"/>
      <c r="BL66" s="24"/>
      <c r="BM66" s="24"/>
      <c r="BN66" s="24"/>
      <c r="BO66" s="24"/>
    </row>
    <row r="67" spans="1:84" ht="3.75" customHeight="1" x14ac:dyDescent="0.2">
      <c r="A67" s="6"/>
      <c r="B67" s="14"/>
      <c r="C67" s="14"/>
      <c r="D67" s="73"/>
      <c r="E67" s="73"/>
      <c r="F67" s="7"/>
      <c r="G67" s="7"/>
      <c r="H67" s="7"/>
      <c r="I67" s="7"/>
      <c r="J67" s="7"/>
      <c r="K67" s="7"/>
      <c r="L67" s="7"/>
      <c r="M67" s="7"/>
      <c r="N67" s="7"/>
      <c r="O67" s="7"/>
      <c r="P67" s="7"/>
      <c r="Q67" s="9"/>
      <c r="R67" s="7"/>
      <c r="S67" s="7"/>
      <c r="T67" s="7"/>
      <c r="U67" s="7"/>
      <c r="V67" s="7"/>
      <c r="W67" s="7"/>
      <c r="X67" s="7"/>
      <c r="Y67" s="7"/>
      <c r="Z67" s="7"/>
      <c r="AA67" s="7"/>
      <c r="AB67" s="7"/>
      <c r="AC67" s="7"/>
      <c r="AD67" s="7"/>
      <c r="AE67" s="7"/>
      <c r="AF67" s="7"/>
      <c r="AG67" s="7"/>
      <c r="AH67" s="176" t="str">
        <f>IF(Standard="","Select performance standard",IF(K70="","Enter contributing area",IF(K74="","Select ponding depth",IF(K76="","Select infiltration rate",
IFERROR(_xlfn.XLOOKUP(MIN(BH70,BH72,BH74),BH70:BH74,BG70:BG74),
IF(PeakCheck,BI74,IF(PastureCheck,
IFERROR(BG72,BI72),IF(WQCheck,BI70,""))))))))</f>
        <v>Select performance standard</v>
      </c>
      <c r="AI67" s="176"/>
      <c r="AJ67" s="176"/>
      <c r="AK67" s="176"/>
      <c r="AL67" s="176"/>
      <c r="AM67" s="176"/>
      <c r="AN67" s="176"/>
      <c r="AO67" s="176"/>
      <c r="AP67" s="176"/>
      <c r="AQ67" s="176"/>
      <c r="AR67" s="176"/>
      <c r="AS67" s="7"/>
      <c r="AT67" s="7"/>
      <c r="AU67" s="7"/>
      <c r="AV67" s="7"/>
      <c r="AW67" s="7"/>
      <c r="AX67" s="7"/>
      <c r="AY67" s="7"/>
      <c r="AZ67" s="7"/>
      <c r="BA67" s="7"/>
      <c r="BB67" s="8"/>
      <c r="BD67" s="24"/>
      <c r="BE67" s="24"/>
      <c r="BF67" s="24"/>
      <c r="BG67" s="24"/>
      <c r="BH67" s="24"/>
      <c r="BI67" s="24"/>
      <c r="BK67" s="24"/>
      <c r="BL67" s="24"/>
      <c r="BM67" s="24"/>
      <c r="BN67" s="24"/>
      <c r="BO67" s="24"/>
    </row>
    <row r="68" spans="1:84" ht="14.25" x14ac:dyDescent="0.2">
      <c r="A68" s="6"/>
      <c r="B68" s="14"/>
      <c r="C68" s="14" t="s">
        <v>256</v>
      </c>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176"/>
      <c r="AI68" s="176"/>
      <c r="AJ68" s="176"/>
      <c r="AK68" s="176"/>
      <c r="AL68" s="176"/>
      <c r="AM68" s="176"/>
      <c r="AN68" s="176"/>
      <c r="AO68" s="176"/>
      <c r="AP68" s="176"/>
      <c r="AQ68" s="176"/>
      <c r="AR68" s="176"/>
      <c r="AS68" s="7"/>
      <c r="AT68" s="7"/>
      <c r="AU68" s="7"/>
      <c r="AV68" s="7"/>
      <c r="AW68" s="7"/>
      <c r="AX68" s="7"/>
      <c r="AY68" s="7"/>
      <c r="AZ68" s="7"/>
      <c r="BA68" s="7"/>
      <c r="BB68" s="8"/>
      <c r="BD68" s="36" t="str">
        <f>C68</f>
        <v>Infiltrating Soil Cell Bioretention without Underdrain4</v>
      </c>
      <c r="BE68" s="24"/>
      <c r="BF68" s="24"/>
      <c r="BG68" s="24"/>
      <c r="BH68" s="24"/>
      <c r="BI68" s="24"/>
    </row>
    <row r="69" spans="1:84" ht="3.75" customHeight="1" x14ac:dyDescent="0.2">
      <c r="A69" s="6"/>
      <c r="B69" s="14"/>
      <c r="C69" s="14"/>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176"/>
      <c r="AI69" s="176"/>
      <c r="AJ69" s="176"/>
      <c r="AK69" s="176"/>
      <c r="AL69" s="176"/>
      <c r="AM69" s="176"/>
      <c r="AN69" s="176"/>
      <c r="AO69" s="176"/>
      <c r="AP69" s="176"/>
      <c r="AQ69" s="176"/>
      <c r="AR69" s="176"/>
      <c r="AS69" s="7"/>
      <c r="AT69" s="7"/>
      <c r="AU69" s="7"/>
      <c r="AV69" s="7"/>
      <c r="AW69" s="7"/>
      <c r="AX69" s="7"/>
      <c r="AY69" s="7"/>
      <c r="AZ69" s="7"/>
      <c r="BA69" s="7"/>
      <c r="BB69" s="8"/>
      <c r="BD69" s="24"/>
      <c r="BE69" s="24"/>
      <c r="BF69" s="24"/>
      <c r="BG69" s="24"/>
      <c r="BH69" s="24"/>
      <c r="BI69" s="24"/>
    </row>
    <row r="70" spans="1:84" s="24" customFormat="1" x14ac:dyDescent="0.2">
      <c r="A70" s="18"/>
      <c r="B70" s="20"/>
      <c r="C70" s="20"/>
      <c r="D70" s="76" t="s">
        <v>19</v>
      </c>
      <c r="E70" s="76"/>
      <c r="F70" s="19"/>
      <c r="G70" s="19"/>
      <c r="H70" s="19"/>
      <c r="I70" s="19"/>
      <c r="J70" s="19"/>
      <c r="K70" s="173"/>
      <c r="L70" s="173"/>
      <c r="M70" s="173"/>
      <c r="N70" s="173"/>
      <c r="O70" s="19" t="s">
        <v>5</v>
      </c>
      <c r="P70" s="19"/>
      <c r="Q70" s="1" t="s">
        <v>155</v>
      </c>
      <c r="R70" s="19"/>
      <c r="S70" s="19"/>
      <c r="T70" s="19"/>
      <c r="U70" s="19"/>
      <c r="V70" s="19"/>
      <c r="W70" s="19"/>
      <c r="X70" s="19"/>
      <c r="Y70" s="21" t="str">
        <f>IFERROR(IF(AND(AH67=BG72,BF72&gt;0),"[ ",""),"")</f>
        <v/>
      </c>
      <c r="Z70" s="173"/>
      <c r="AA70" s="173"/>
      <c r="AB70" s="173"/>
      <c r="AC70" s="173"/>
      <c r="AD70" s="19" t="s">
        <v>5</v>
      </c>
      <c r="AE70" s="19"/>
      <c r="AF70" s="22" t="str">
        <f>IFERROR(IF(AH67=BG70,IF(BF70=0,"÷",IF(BF70&gt;0,"-","+")),
IF(AH67=BG72,IF(BF72=0,"÷",IF(BF72&gt;0,"-","+")),
IF(AH67=BG74,IF(BF74=0,"÷",IF(BF74&gt;0,"-","+")),":"))),":")</f>
        <v>:</v>
      </c>
      <c r="AG70" s="19"/>
      <c r="AH70" s="177"/>
      <c r="AI70" s="177"/>
      <c r="AJ70" s="177"/>
      <c r="AK70" s="177"/>
      <c r="AL70" s="177"/>
      <c r="AM70" s="177"/>
      <c r="AN70" s="177"/>
      <c r="AO70" s="177"/>
      <c r="AP70" s="177"/>
      <c r="AQ70" s="177"/>
      <c r="AR70" s="177"/>
      <c r="AS70" s="19"/>
      <c r="AT70" s="22" t="s">
        <v>108</v>
      </c>
      <c r="AU70" s="19"/>
      <c r="AV70" s="183" t="str">
        <f>IF(OR(Standard="",K70=""),"",IFERROR(MIN(IF(Standard=WQ,K72,K70),BH70,BH72,BH74),""))</f>
        <v/>
      </c>
      <c r="AW70" s="183"/>
      <c r="AX70" s="183"/>
      <c r="AY70" s="183"/>
      <c r="AZ70" s="183"/>
      <c r="BA70" s="19" t="s">
        <v>5</v>
      </c>
      <c r="BB70" s="23"/>
      <c r="BD70" s="24" t="s">
        <v>72</v>
      </c>
      <c r="BE70" s="37" t="e">
        <f>IF(K72&gt;10000,"NA",INDEX('Sizing Factors'!$H:$H,MATCH(C68&amp;K74&amp;K76&amp;$BD$70,'Sizing Factors'!$L:$L,0)))</f>
        <v>#N/A</v>
      </c>
      <c r="BF70" s="37" t="e">
        <f>INDEX('Sizing Factors'!$I:$I,MATCH(C68&amp;K74&amp;K76&amp;$BD$70,'Sizing Factors'!$L:$L,0))</f>
        <v>#N/A</v>
      </c>
      <c r="BG70" s="37" t="e">
        <f>IF(BF70=0,
BE70*100&amp;"%",
ABS(BF70)&amp;" ] ÷ "&amp;BE70)</f>
        <v>#N/A</v>
      </c>
      <c r="BH70" s="38" t="str">
        <f>IF(WQCheck, MAX((Z70-BF70)/BE70,0),"")</f>
        <v/>
      </c>
      <c r="BI70" s="41" t="e">
        <f>IF(K72&gt;10000,"Not applicable for contributing area &gt; 10,000 sf",INDEX('Sizing Factors'!$J:$J,MATCH(C68&amp;K74&amp;K76&amp;$BD$70,'Sizing Factors'!$L:$L,0)))</f>
        <v>#N/A</v>
      </c>
      <c r="BJ70" s="37" t="str">
        <f>IF(WQCheck,ROUNDUP(K72*BE70+BF70,0),"")</f>
        <v/>
      </c>
      <c r="BK70" s="169"/>
      <c r="BL70" s="2"/>
      <c r="BM70" s="2"/>
      <c r="BN70" s="2"/>
      <c r="BO70" s="2"/>
      <c r="BP70" s="2"/>
      <c r="BQ70" s="2"/>
      <c r="BR70" s="2"/>
      <c r="BS70" s="2"/>
      <c r="BT70" s="2"/>
      <c r="BU70" s="2"/>
      <c r="BV70" s="2"/>
      <c r="BW70" s="2"/>
      <c r="BX70" s="2"/>
      <c r="BY70" s="2"/>
      <c r="BZ70" s="2"/>
      <c r="CA70" s="2"/>
      <c r="CB70" s="2"/>
      <c r="CC70" s="2"/>
      <c r="CD70" s="2"/>
      <c r="CE70" s="2"/>
      <c r="CF70" s="2"/>
    </row>
    <row r="71" spans="1:84" ht="3.75" customHeight="1" x14ac:dyDescent="0.2">
      <c r="A71" s="6"/>
      <c r="B71" s="14"/>
      <c r="C71" s="14"/>
      <c r="D71" s="73"/>
      <c r="E71" s="73"/>
      <c r="F71" s="7"/>
      <c r="G71" s="7"/>
      <c r="H71" s="7"/>
      <c r="I71" s="7"/>
      <c r="J71" s="7"/>
      <c r="K71" s="7"/>
      <c r="L71" s="7"/>
      <c r="M71" s="7"/>
      <c r="N71" s="7"/>
      <c r="O71" s="7"/>
      <c r="P71" s="7"/>
      <c r="Q71" s="9"/>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8"/>
      <c r="BD71" s="24"/>
      <c r="BE71" s="24"/>
      <c r="BF71" s="24"/>
      <c r="BG71" s="24"/>
      <c r="BH71" s="24"/>
      <c r="BI71" s="24"/>
    </row>
    <row r="72" spans="1:84" s="24" customFormat="1" ht="12" customHeight="1" x14ac:dyDescent="0.2">
      <c r="A72" s="18"/>
      <c r="B72" s="20"/>
      <c r="C72" s="20"/>
      <c r="D72" s="172" t="s">
        <v>224</v>
      </c>
      <c r="E72" s="172"/>
      <c r="F72" s="172"/>
      <c r="G72" s="172"/>
      <c r="H72" s="172"/>
      <c r="I72" s="172"/>
      <c r="J72" s="172"/>
      <c r="K72" s="173"/>
      <c r="L72" s="173"/>
      <c r="M72" s="173"/>
      <c r="N72" s="173"/>
      <c r="O72" s="19" t="s">
        <v>5</v>
      </c>
      <c r="P72" s="19"/>
      <c r="Q72" s="171" t="str">
        <f>IF(K70="","",
IFERROR(IF(AND(Z70&lt;&gt;MAX(BJ72,BJ74), MAX(BJ72,BJ74)&gt;0),"Soil cell facility to meet Flow Control Standard(s) is "&amp;MAX(BJ72,BJ74)&amp;" sf" &amp;CHAR(10),""),"")&amp;
IFERROR(IF(AND(Z70&lt;&gt;BJ70,BJ70&lt;&gt;""),"Soil cell facility to meet WQ Treatment Standard is "&amp;BJ70&amp;" sf",""),""))</f>
        <v/>
      </c>
      <c r="R72" s="171"/>
      <c r="S72" s="171"/>
      <c r="T72" s="171"/>
      <c r="U72" s="171"/>
      <c r="V72" s="171"/>
      <c r="W72" s="171"/>
      <c r="X72" s="171"/>
      <c r="Y72" s="171"/>
      <c r="Z72" s="171"/>
      <c r="AA72" s="171"/>
      <c r="AB72" s="171"/>
      <c r="AC72" s="171"/>
      <c r="AD72" s="171"/>
      <c r="AE72" s="171"/>
      <c r="AF72" s="171"/>
      <c r="AG72" s="171"/>
      <c r="AH72" s="171"/>
      <c r="AI72" s="171"/>
      <c r="AJ72" s="171"/>
      <c r="AK72" s="171"/>
      <c r="AL72" s="91"/>
      <c r="AM72" s="91"/>
      <c r="AN72" s="91"/>
      <c r="AO72" s="91"/>
      <c r="AP72" s="91"/>
      <c r="AQ72" s="91"/>
      <c r="AR72" s="80" t="str">
        <f>IF(WQCheck,"PGHS Area Managed","")</f>
        <v/>
      </c>
      <c r="AS72" s="165"/>
      <c r="AT72" s="81" t="str">
        <f>IF(WQCheck,"=","")</f>
        <v/>
      </c>
      <c r="AU72" s="165"/>
      <c r="AV72" s="207" t="str">
        <f>IFERROR(IF(AND(WQCheck,K72&gt;0,BH70&lt;&gt;""),MIN(BH70,K72),""),"")</f>
        <v/>
      </c>
      <c r="AW72" s="207"/>
      <c r="AX72" s="207"/>
      <c r="AY72" s="207"/>
      <c r="AZ72" s="207"/>
      <c r="BA72" s="19" t="str">
        <f>IF(WQCheck,"sf","")</f>
        <v/>
      </c>
      <c r="BB72" s="23"/>
      <c r="BD72" s="24" t="s">
        <v>7</v>
      </c>
      <c r="BE72" s="37" t="e">
        <f>INDEX('Sizing Factors'!$H:$H,MATCH(C68&amp;K74&amp;K76&amp;IF(K70&lt;=2000,"02000",IF(K70&lt;=10000,"200010000","x"))&amp;$BD$72,'Sizing Factors'!$L:$L,0))</f>
        <v>#N/A</v>
      </c>
      <c r="BF72" s="37" t="e">
        <f>INDEX('Sizing Factors'!$I:$I,MATCH(C68&amp;K74&amp;K76&amp;IF(K70&lt;=2000,"02000",IF(K70&lt;=10000,"200010000","x"))&amp;$BD$72,'Sizing Factors'!$L:$L,0))</f>
        <v>#N/A</v>
      </c>
      <c r="BG72" s="37" t="e">
        <f>IF(BF72=0,
BE72*100&amp;"%",
ABS(BF72)&amp;" ] ÷ "&amp;BE72)</f>
        <v>#N/A</v>
      </c>
      <c r="BH72" s="38" t="str">
        <f>IF(PastureCheck,MAX((Z70-BF72)/BE72,0),"")</f>
        <v/>
      </c>
      <c r="BI72" s="41" t="e">
        <f>IF(K70&gt;10000,"Not applicable for contributing area &gt; 10,000 sf",INDEX('Sizing Factors'!$J:$J,MATCH(C68&amp;K74&amp;K76&amp;IF(K70&lt;=2000,"02000",IF(K70&lt;=10000,"200010000","x"))&amp;$BD$72,'Sizing Factors'!$L:$L,0)))</f>
        <v>#N/A</v>
      </c>
      <c r="BJ72" s="37" t="str">
        <f>IF(PastureCheck,ROUNDUP(K70*BE72+BF72,0),"")</f>
        <v/>
      </c>
      <c r="BK72" s="2"/>
      <c r="BL72" s="2"/>
      <c r="BM72" s="2"/>
      <c r="BN72" s="2"/>
      <c r="BO72" s="2"/>
      <c r="BP72" s="2"/>
      <c r="BQ72" s="2"/>
      <c r="BR72" s="2"/>
      <c r="BS72" s="2"/>
      <c r="BT72" s="2"/>
      <c r="BU72" s="2"/>
      <c r="BV72" s="2"/>
      <c r="BW72" s="2"/>
      <c r="BX72" s="2"/>
      <c r="BY72" s="2"/>
      <c r="BZ72" s="2"/>
      <c r="CA72" s="2"/>
      <c r="CB72" s="2"/>
      <c r="CC72" s="2"/>
      <c r="CD72" s="2"/>
      <c r="CE72" s="2"/>
      <c r="CF72" s="2"/>
    </row>
    <row r="73" spans="1:84" ht="3.75" customHeight="1" x14ac:dyDescent="0.2">
      <c r="A73" s="6"/>
      <c r="B73" s="14"/>
      <c r="C73" s="14"/>
      <c r="D73" s="73"/>
      <c r="E73" s="73"/>
      <c r="F73" s="7"/>
      <c r="G73" s="7"/>
      <c r="H73" s="7"/>
      <c r="I73" s="7"/>
      <c r="J73" s="7"/>
      <c r="K73" s="7"/>
      <c r="L73" s="7"/>
      <c r="M73" s="7"/>
      <c r="N73" s="7"/>
      <c r="O73" s="7"/>
      <c r="P73" s="7"/>
      <c r="Q73" s="171"/>
      <c r="R73" s="171"/>
      <c r="S73" s="171"/>
      <c r="T73" s="171"/>
      <c r="U73" s="171"/>
      <c r="V73" s="171"/>
      <c r="W73" s="171"/>
      <c r="X73" s="171"/>
      <c r="Y73" s="171"/>
      <c r="Z73" s="171"/>
      <c r="AA73" s="171"/>
      <c r="AB73" s="171"/>
      <c r="AC73" s="171"/>
      <c r="AD73" s="171"/>
      <c r="AE73" s="171"/>
      <c r="AF73" s="171"/>
      <c r="AG73" s="171"/>
      <c r="AH73" s="171"/>
      <c r="AI73" s="171"/>
      <c r="AJ73" s="171"/>
      <c r="AK73" s="171"/>
      <c r="AL73" s="7"/>
      <c r="AM73" s="7"/>
      <c r="AN73" s="7"/>
      <c r="AO73" s="7"/>
      <c r="AP73" s="7"/>
      <c r="AQ73" s="7"/>
      <c r="AR73" s="7"/>
      <c r="AS73" s="7"/>
      <c r="AT73" s="7"/>
      <c r="AU73" s="7"/>
      <c r="AV73" s="7"/>
      <c r="AW73" s="7"/>
      <c r="AX73" s="7"/>
      <c r="AY73" s="7"/>
      <c r="AZ73" s="7"/>
      <c r="BA73" s="7"/>
      <c r="BB73" s="8"/>
      <c r="BD73" s="24"/>
      <c r="BE73" s="37"/>
      <c r="BF73" s="37"/>
      <c r="BG73" s="37"/>
      <c r="BH73" s="37"/>
      <c r="BI73" s="37"/>
    </row>
    <row r="74" spans="1:84" s="24" customFormat="1" x14ac:dyDescent="0.2">
      <c r="A74" s="18"/>
      <c r="B74" s="20"/>
      <c r="C74" s="20"/>
      <c r="D74" s="76" t="s">
        <v>20</v>
      </c>
      <c r="E74" s="76"/>
      <c r="F74" s="19"/>
      <c r="G74" s="19"/>
      <c r="H74" s="19"/>
      <c r="I74" s="19"/>
      <c r="J74" s="19"/>
      <c r="K74" s="174"/>
      <c r="L74" s="174"/>
      <c r="M74" s="174"/>
      <c r="N74" s="174"/>
      <c r="O74" s="19" t="s">
        <v>44</v>
      </c>
      <c r="P74" s="19"/>
      <c r="Q74" s="171"/>
      <c r="R74" s="171"/>
      <c r="S74" s="171"/>
      <c r="T74" s="171"/>
      <c r="U74" s="171"/>
      <c r="V74" s="171"/>
      <c r="W74" s="171"/>
      <c r="X74" s="171"/>
      <c r="Y74" s="171"/>
      <c r="Z74" s="171"/>
      <c r="AA74" s="171"/>
      <c r="AB74" s="171"/>
      <c r="AC74" s="171"/>
      <c r="AD74" s="171"/>
      <c r="AE74" s="171"/>
      <c r="AF74" s="171"/>
      <c r="AG74" s="171"/>
      <c r="AH74" s="171"/>
      <c r="AI74" s="171"/>
      <c r="AJ74" s="171"/>
      <c r="AK74" s="171"/>
      <c r="AL74" s="19"/>
      <c r="AM74" s="19"/>
      <c r="AN74" s="19"/>
      <c r="AO74" s="19"/>
      <c r="AP74" s="19"/>
      <c r="AQ74" s="19"/>
      <c r="AR74" s="19"/>
      <c r="AS74" s="19"/>
      <c r="AT74" s="19"/>
      <c r="AU74" s="19"/>
      <c r="AV74" s="19"/>
      <c r="AW74" s="19"/>
      <c r="AX74" s="19"/>
      <c r="AY74" s="19"/>
      <c r="AZ74" s="19"/>
      <c r="BA74" s="19"/>
      <c r="BB74" s="23"/>
      <c r="BD74" s="24" t="s">
        <v>71</v>
      </c>
      <c r="BE74" s="37" t="e">
        <f>IF(K70&gt;10000,"NA",INDEX('Sizing Factors'!$H:$H,MATCH(C68&amp;K74&amp;K76&amp;$BD$74,'Sizing Factors'!$L:$L,0)))</f>
        <v>#N/A</v>
      </c>
      <c r="BF74" s="37" t="e">
        <f>INDEX('Sizing Factors'!$I:$I,MATCH(C68&amp;K74&amp;K76&amp;$BD$74,'Sizing Factors'!$L:$L,0))</f>
        <v>#N/A</v>
      </c>
      <c r="BG74" s="37" t="e">
        <f>IF(BF74=0,
BE74*100&amp;"%",
BF74&amp;" ] ÷ "&amp;BE74)</f>
        <v>#N/A</v>
      </c>
      <c r="BH74" s="38" t="str">
        <f>IF(PeakCheck,(Z70-BF74)/BE74,"")</f>
        <v/>
      </c>
      <c r="BI74" s="41" t="e">
        <f>IF(K70&gt;10000,"Not applicable for contributing area &gt; 10,000 sf",INDEX('Sizing Factors'!$J:$J,MATCH(C68&amp;K74&amp;K76&amp;$BD$74,'Sizing Factors'!$L:$L,0)))</f>
        <v>#N/A</v>
      </c>
      <c r="BJ74" s="37" t="str">
        <f>IF(PeakCheck,ROUNDUP(K70*BE74+BF74,0),"")</f>
        <v/>
      </c>
      <c r="BK74" s="2"/>
      <c r="BL74" s="2"/>
      <c r="BM74" s="2"/>
      <c r="BN74" s="2"/>
      <c r="BO74" s="2"/>
      <c r="BP74" s="2"/>
      <c r="BQ74" s="2"/>
      <c r="BR74" s="2"/>
      <c r="BS74" s="2"/>
      <c r="BT74" s="2"/>
      <c r="BU74" s="2"/>
      <c r="BV74" s="2"/>
      <c r="BW74" s="2"/>
      <c r="BX74" s="2"/>
      <c r="BY74" s="2"/>
      <c r="BZ74" s="2"/>
      <c r="CA74" s="2"/>
      <c r="CB74" s="2"/>
      <c r="CC74" s="2"/>
      <c r="CD74" s="2"/>
      <c r="CE74" s="2"/>
      <c r="CF74" s="2"/>
    </row>
    <row r="75" spans="1:84" s="24" customFormat="1" ht="3.75" customHeight="1" x14ac:dyDescent="0.2">
      <c r="A75" s="18"/>
      <c r="B75" s="20"/>
      <c r="C75" s="20"/>
      <c r="D75" s="76"/>
      <c r="E75" s="76"/>
      <c r="F75" s="19"/>
      <c r="G75" s="19"/>
      <c r="H75" s="19"/>
      <c r="I75" s="19"/>
      <c r="J75" s="19"/>
      <c r="K75" s="19"/>
      <c r="L75" s="19"/>
      <c r="M75" s="19"/>
      <c r="N75" s="19"/>
      <c r="O75" s="19"/>
      <c r="P75" s="19"/>
      <c r="Q75" s="171"/>
      <c r="R75" s="171"/>
      <c r="S75" s="171"/>
      <c r="T75" s="171"/>
      <c r="U75" s="171"/>
      <c r="V75" s="171"/>
      <c r="W75" s="171"/>
      <c r="X75" s="171"/>
      <c r="Y75" s="171"/>
      <c r="Z75" s="171"/>
      <c r="AA75" s="171"/>
      <c r="AB75" s="171"/>
      <c r="AC75" s="171"/>
      <c r="AD75" s="171"/>
      <c r="AE75" s="171"/>
      <c r="AF75" s="171"/>
      <c r="AG75" s="171"/>
      <c r="AH75" s="171"/>
      <c r="AI75" s="171"/>
      <c r="AJ75" s="171"/>
      <c r="AK75" s="171"/>
      <c r="AL75" s="19"/>
      <c r="AM75" s="19"/>
      <c r="AN75" s="19"/>
      <c r="AO75" s="19"/>
      <c r="AP75" s="19"/>
      <c r="AQ75" s="19"/>
      <c r="AR75" s="19"/>
      <c r="AS75" s="19"/>
      <c r="AT75" s="19"/>
      <c r="AU75" s="19"/>
      <c r="AV75" s="19"/>
      <c r="AW75" s="19"/>
      <c r="AX75" s="19"/>
      <c r="AY75" s="19"/>
      <c r="AZ75" s="19"/>
      <c r="BA75" s="19"/>
      <c r="BB75" s="23"/>
      <c r="BE75" s="37"/>
      <c r="BF75" s="37"/>
      <c r="BG75" s="37"/>
      <c r="BH75" s="38"/>
      <c r="BI75" s="41"/>
      <c r="BJ75" s="37"/>
      <c r="BK75" s="2"/>
      <c r="BL75" s="2"/>
      <c r="BM75" s="2"/>
      <c r="BN75" s="2"/>
      <c r="BO75" s="2"/>
      <c r="BP75" s="2"/>
      <c r="BQ75" s="2"/>
      <c r="BR75" s="2"/>
      <c r="BS75" s="2"/>
      <c r="BT75" s="2"/>
      <c r="BU75" s="2"/>
      <c r="BV75" s="2"/>
      <c r="BW75" s="2"/>
      <c r="BX75" s="2"/>
      <c r="BY75" s="2"/>
      <c r="BZ75" s="2"/>
      <c r="CA75" s="2"/>
      <c r="CB75" s="2"/>
      <c r="CC75" s="2"/>
      <c r="CD75" s="2"/>
      <c r="CE75" s="2"/>
      <c r="CF75" s="2"/>
    </row>
    <row r="76" spans="1:84" s="24" customFormat="1" ht="12.75" x14ac:dyDescent="0.2">
      <c r="A76" s="18"/>
      <c r="B76" s="20"/>
      <c r="C76" s="20"/>
      <c r="D76" s="76" t="s">
        <v>138</v>
      </c>
      <c r="E76" s="76"/>
      <c r="F76" s="19"/>
      <c r="G76" s="19"/>
      <c r="H76" s="19"/>
      <c r="I76" s="19"/>
      <c r="J76" s="19"/>
      <c r="K76" s="174"/>
      <c r="L76" s="174"/>
      <c r="M76" s="174"/>
      <c r="N76" s="174"/>
      <c r="O76" s="19" t="s">
        <v>45</v>
      </c>
      <c r="P76" s="19"/>
      <c r="Q76" s="171"/>
      <c r="R76" s="171"/>
      <c r="S76" s="171"/>
      <c r="T76" s="171"/>
      <c r="U76" s="171"/>
      <c r="V76" s="171"/>
      <c r="W76" s="171"/>
      <c r="X76" s="171"/>
      <c r="Y76" s="171"/>
      <c r="Z76" s="171"/>
      <c r="AA76" s="171"/>
      <c r="AB76" s="171"/>
      <c r="AC76" s="171"/>
      <c r="AD76" s="171"/>
      <c r="AE76" s="171"/>
      <c r="AF76" s="171"/>
      <c r="AG76" s="171"/>
      <c r="AH76" s="171"/>
      <c r="AI76" s="171"/>
      <c r="AJ76" s="171"/>
      <c r="AK76" s="171"/>
      <c r="AL76" s="19"/>
      <c r="AM76" s="19"/>
      <c r="AN76" s="19"/>
      <c r="AO76" s="19"/>
      <c r="AP76" s="19"/>
      <c r="AQ76" s="19"/>
      <c r="AR76" s="19"/>
      <c r="AS76" s="19"/>
      <c r="AT76" s="19"/>
      <c r="AU76" s="19"/>
      <c r="AV76" s="19"/>
      <c r="AW76" s="19"/>
      <c r="AX76" s="19"/>
      <c r="AY76" s="19"/>
      <c r="AZ76" s="19"/>
      <c r="BA76" s="19"/>
      <c r="BB76" s="23"/>
      <c r="BE76" s="37"/>
      <c r="BF76" s="37"/>
      <c r="BG76" s="37"/>
      <c r="BH76" s="38"/>
      <c r="BI76" s="41"/>
      <c r="BJ76" s="37"/>
      <c r="BK76" s="2"/>
      <c r="BL76" s="2"/>
      <c r="BM76" s="2"/>
      <c r="BN76" s="2"/>
      <c r="BO76" s="2"/>
      <c r="BP76" s="2"/>
      <c r="BQ76" s="2"/>
      <c r="BR76" s="2"/>
      <c r="BS76" s="2"/>
      <c r="BT76" s="2"/>
      <c r="BU76" s="2"/>
      <c r="BV76" s="2"/>
      <c r="BW76" s="2"/>
      <c r="BX76" s="2"/>
      <c r="BY76" s="2"/>
      <c r="BZ76" s="2"/>
      <c r="CA76" s="2"/>
      <c r="CB76" s="2"/>
      <c r="CC76" s="2"/>
      <c r="CD76" s="2"/>
      <c r="CE76" s="2"/>
      <c r="CF76" s="2"/>
    </row>
    <row r="77" spans="1:84" ht="3.75" customHeight="1" x14ac:dyDescent="0.2">
      <c r="A77" s="6"/>
      <c r="B77" s="14"/>
      <c r="C77" s="14"/>
      <c r="D77" s="73"/>
      <c r="E77" s="73"/>
      <c r="F77" s="7"/>
      <c r="G77" s="7"/>
      <c r="H77" s="7"/>
      <c r="I77" s="7"/>
      <c r="J77" s="7"/>
      <c r="K77" s="7"/>
      <c r="L77" s="7"/>
      <c r="M77" s="7"/>
      <c r="N77" s="7"/>
      <c r="O77" s="7"/>
      <c r="P77" s="7"/>
      <c r="Q77" s="9"/>
      <c r="R77" s="7"/>
      <c r="S77" s="7"/>
      <c r="T77" s="7"/>
      <c r="U77" s="7"/>
      <c r="V77" s="7"/>
      <c r="W77" s="7"/>
      <c r="X77" s="7"/>
      <c r="Y77" s="7"/>
      <c r="Z77" s="7"/>
      <c r="AA77" s="7"/>
      <c r="AB77" s="7"/>
      <c r="AC77" s="7"/>
      <c r="AD77" s="7"/>
      <c r="AE77" s="7"/>
      <c r="AF77" s="7"/>
      <c r="AG77" s="7"/>
      <c r="AH77" s="35"/>
      <c r="AI77" s="35"/>
      <c r="AJ77" s="35"/>
      <c r="AK77" s="35"/>
      <c r="AL77" s="35"/>
      <c r="AM77" s="35"/>
      <c r="AN77" s="35"/>
      <c r="AO77" s="35"/>
      <c r="AP77" s="35"/>
      <c r="AQ77" s="35"/>
      <c r="AR77" s="35"/>
      <c r="AS77" s="7"/>
      <c r="AT77" s="7"/>
      <c r="AU77" s="7"/>
      <c r="AV77" s="7"/>
      <c r="AW77" s="7"/>
      <c r="AX77" s="7"/>
      <c r="AY77" s="7"/>
      <c r="AZ77" s="7"/>
      <c r="BA77" s="7"/>
      <c r="BB77" s="8"/>
      <c r="BD77" s="24"/>
      <c r="BE77" s="24"/>
      <c r="BF77" s="24"/>
      <c r="BG77" s="24"/>
      <c r="BH77" s="24"/>
      <c r="BI77" s="24"/>
      <c r="BK77" s="24"/>
      <c r="BL77" s="24"/>
      <c r="BM77" s="24"/>
      <c r="BN77" s="24"/>
      <c r="BO77" s="24"/>
    </row>
    <row r="78" spans="1:84" ht="12" customHeight="1" x14ac:dyDescent="0.2">
      <c r="A78" s="6"/>
      <c r="B78" s="14"/>
      <c r="C78" s="14" t="s">
        <v>258</v>
      </c>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176" t="str">
        <f>IF(Standard="","Select performance standard",IF(K80="","Enter contributing area",IF(K84="","Select ponding depth",
IFERROR(_xlfn.XLOOKUP(MIN(BH80,BH82,BH84),BH80:BH84,BG80:BG84),
IF(PeakCheck,BI84,IF(PastureCheck,BI82,IF(WQCheck,BI80,"")))))))</f>
        <v>Select performance standard</v>
      </c>
      <c r="AI78" s="176"/>
      <c r="AJ78" s="176"/>
      <c r="AK78" s="176"/>
      <c r="AL78" s="176"/>
      <c r="AM78" s="176"/>
      <c r="AN78" s="176"/>
      <c r="AO78" s="176"/>
      <c r="AP78" s="176"/>
      <c r="AQ78" s="176"/>
      <c r="AR78" s="176"/>
      <c r="AS78" s="7"/>
      <c r="AT78" s="7"/>
      <c r="AU78" s="7"/>
      <c r="AV78" s="7"/>
      <c r="AW78" s="7"/>
      <c r="AX78" s="7"/>
      <c r="AY78" s="7"/>
      <c r="AZ78" s="7"/>
      <c r="BA78" s="7"/>
      <c r="BB78" s="8"/>
      <c r="BD78" s="36" t="str">
        <f>C78</f>
        <v>Infiltrating Soil Cell Bioretention with Underdrain4</v>
      </c>
      <c r="BE78" s="24"/>
      <c r="BF78" s="24"/>
      <c r="BG78" s="24"/>
      <c r="BH78" s="24"/>
      <c r="BI78" s="24"/>
    </row>
    <row r="79" spans="1:84" ht="3.75" customHeight="1" x14ac:dyDescent="0.2">
      <c r="A79" s="6"/>
      <c r="B79" s="14"/>
      <c r="C79" s="14"/>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176"/>
      <c r="AI79" s="176"/>
      <c r="AJ79" s="176"/>
      <c r="AK79" s="176"/>
      <c r="AL79" s="176"/>
      <c r="AM79" s="176"/>
      <c r="AN79" s="176"/>
      <c r="AO79" s="176"/>
      <c r="AP79" s="176"/>
      <c r="AQ79" s="176"/>
      <c r="AR79" s="176"/>
      <c r="AS79" s="7"/>
      <c r="AT79" s="7"/>
      <c r="AU79" s="7"/>
      <c r="AV79" s="7"/>
      <c r="AW79" s="7"/>
      <c r="AX79" s="7"/>
      <c r="AY79" s="7"/>
      <c r="AZ79" s="7"/>
      <c r="BA79" s="7"/>
      <c r="BB79" s="8"/>
      <c r="BD79" s="24"/>
      <c r="BE79" s="24"/>
      <c r="BF79" s="24"/>
      <c r="BG79" s="24"/>
      <c r="BH79" s="24"/>
      <c r="BI79" s="24"/>
    </row>
    <row r="80" spans="1:84" s="24" customFormat="1" x14ac:dyDescent="0.2">
      <c r="A80" s="18"/>
      <c r="B80" s="20"/>
      <c r="C80" s="20"/>
      <c r="D80" s="76" t="s">
        <v>19</v>
      </c>
      <c r="E80" s="76"/>
      <c r="F80" s="19"/>
      <c r="G80" s="19"/>
      <c r="H80" s="19"/>
      <c r="I80" s="19"/>
      <c r="J80" s="19"/>
      <c r="K80" s="173"/>
      <c r="L80" s="173"/>
      <c r="M80" s="173"/>
      <c r="N80" s="173"/>
      <c r="O80" s="19" t="s">
        <v>5</v>
      </c>
      <c r="P80" s="19"/>
      <c r="Q80" s="1" t="s">
        <v>155</v>
      </c>
      <c r="R80" s="19"/>
      <c r="S80" s="19"/>
      <c r="T80" s="19"/>
      <c r="U80" s="19"/>
      <c r="V80" s="19"/>
      <c r="W80" s="19"/>
      <c r="X80" s="19"/>
      <c r="Y80" s="21" t="str">
        <f>IFERROR(IF(AND(AH65=BG82,BF82&gt;0),"[ ",""),"")</f>
        <v/>
      </c>
      <c r="Z80" s="173"/>
      <c r="AA80" s="173"/>
      <c r="AB80" s="173"/>
      <c r="AC80" s="173"/>
      <c r="AD80" s="19" t="s">
        <v>5</v>
      </c>
      <c r="AE80" s="19"/>
      <c r="AF80" s="22" t="str">
        <f>IFERROR(IF(AH78=BG80,IF(BF80=0,"÷",IF(BF80&gt;0,"-","+")),
IF(AH78=BG82,IF(BF82=0,"÷",IF(BF82&gt;0,"-","+")),
IF(AH78=BG84,IF(BF84=0,"÷",IF(BF84&gt;0,"-","+")),":"))),":")</f>
        <v>:</v>
      </c>
      <c r="AG80" s="19"/>
      <c r="AH80" s="177"/>
      <c r="AI80" s="177"/>
      <c r="AJ80" s="177"/>
      <c r="AK80" s="177"/>
      <c r="AL80" s="177"/>
      <c r="AM80" s="177"/>
      <c r="AN80" s="177"/>
      <c r="AO80" s="177"/>
      <c r="AP80" s="177"/>
      <c r="AQ80" s="177"/>
      <c r="AR80" s="177"/>
      <c r="AS80" s="19"/>
      <c r="AT80" s="22" t="s">
        <v>108</v>
      </c>
      <c r="AU80" s="19"/>
      <c r="AV80" s="183" t="str">
        <f>IF(OR(Standard="",K80=""),"",IFERROR(MIN(IF(Standard=WQ,K82,K80),BH80,BH82,BH84),""))</f>
        <v/>
      </c>
      <c r="AW80" s="183"/>
      <c r="AX80" s="183"/>
      <c r="AY80" s="183"/>
      <c r="AZ80" s="183"/>
      <c r="BA80" s="19" t="s">
        <v>5</v>
      </c>
      <c r="BB80" s="23"/>
      <c r="BD80" s="24" t="s">
        <v>72</v>
      </c>
      <c r="BE80" s="37" t="e">
        <f>IF(K82&gt;10000,"NA",INDEX('Sizing Factors'!$H:$H,MATCH(C78&amp;K84&amp;$BD$80,'Sizing Factors'!$L:$L,0)))</f>
        <v>#N/A</v>
      </c>
      <c r="BF80" s="37" t="e">
        <f>INDEX('Sizing Factors'!$I:$I,MATCH(C78&amp;K84&amp;$BD$80,'Sizing Factors'!$L:$L,0))</f>
        <v>#N/A</v>
      </c>
      <c r="BG80" s="37" t="e">
        <f>IF(BF80=0,
BE80*100&amp;"%",
ABS(BF80)&amp;" ] ÷ "&amp;BE80)</f>
        <v>#N/A</v>
      </c>
      <c r="BH80" s="38" t="str">
        <f>IF(WQCheck, MAX((Z80-BF80)/BE80,0),"")</f>
        <v/>
      </c>
      <c r="BI80" s="41" t="e">
        <f>IF(K82&gt;10000,"Not applicable for contributing area &gt; 10,000 sf",INDEX('Sizing Factors'!$J:$J,MATCH(C78&amp;K84&amp;$BD$80,'Sizing Factors'!$L:$L,0)))</f>
        <v>#N/A</v>
      </c>
      <c r="BJ80" s="37" t="str">
        <f>IF(WQCheck,ROUNDUP(K82*BE80+BF80,0),"")</f>
        <v/>
      </c>
      <c r="BK80" s="2"/>
      <c r="BL80" s="2"/>
      <c r="BM80" s="2"/>
      <c r="BN80" s="2"/>
      <c r="BO80" s="2"/>
      <c r="BP80" s="2"/>
      <c r="BQ80" s="2"/>
      <c r="BR80" s="2"/>
      <c r="BS80" s="2"/>
      <c r="BT80" s="2"/>
      <c r="BU80" s="2"/>
      <c r="BV80" s="2"/>
      <c r="BW80" s="2"/>
      <c r="BX80" s="2"/>
      <c r="BY80" s="2"/>
      <c r="BZ80" s="2"/>
      <c r="CA80" s="2"/>
      <c r="CB80" s="2"/>
      <c r="CC80" s="2"/>
      <c r="CD80" s="2"/>
      <c r="CE80" s="2"/>
      <c r="CF80" s="2"/>
    </row>
    <row r="81" spans="1:84" ht="3.75" customHeight="1" x14ac:dyDescent="0.2">
      <c r="A81" s="6"/>
      <c r="B81" s="14"/>
      <c r="C81" s="14"/>
      <c r="D81" s="73"/>
      <c r="E81" s="73"/>
      <c r="F81" s="7"/>
      <c r="G81" s="7"/>
      <c r="H81" s="7"/>
      <c r="I81" s="7"/>
      <c r="J81" s="7"/>
      <c r="K81" s="7"/>
      <c r="L81" s="7"/>
      <c r="M81" s="7"/>
      <c r="N81" s="7"/>
      <c r="O81" s="7"/>
      <c r="P81" s="7"/>
      <c r="Q81" s="9"/>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8"/>
      <c r="BD81" s="24"/>
      <c r="BE81" s="24"/>
      <c r="BF81" s="24"/>
      <c r="BG81" s="24"/>
      <c r="BH81" s="24"/>
      <c r="BI81" s="24"/>
    </row>
    <row r="82" spans="1:84" s="24" customFormat="1" x14ac:dyDescent="0.2">
      <c r="A82" s="18"/>
      <c r="B82" s="20"/>
      <c r="C82" s="20"/>
      <c r="D82" s="172" t="s">
        <v>224</v>
      </c>
      <c r="E82" s="172"/>
      <c r="F82" s="172"/>
      <c r="G82" s="172"/>
      <c r="H82" s="172"/>
      <c r="I82" s="172"/>
      <c r="J82" s="172"/>
      <c r="K82" s="173"/>
      <c r="L82" s="173"/>
      <c r="M82" s="173"/>
      <c r="N82" s="173"/>
      <c r="O82" s="19" t="s">
        <v>5</v>
      </c>
      <c r="P82" s="19"/>
      <c r="Q82" s="171" t="str">
        <f>IF(K80="","",
IFERROR(IF(AND(Z80&lt;&gt;MAX(BJ82,BJ84), MAX(BJ82,BJ84)&gt;0),"Soil cell facility to meet Flow Control Standard(s) is "&amp;MAX(BJ82,BJ84)&amp;" sf" &amp; CHAR(10),""),"")&amp;
IFERROR(IF(AND(Z80&lt;&gt;BJ80,BJ80&lt;&gt;""),"Soil cell facility to meet WQ Treatment Standard is "&amp; BJ80 &amp;" sf",""),""))</f>
        <v/>
      </c>
      <c r="R82" s="171"/>
      <c r="S82" s="171"/>
      <c r="T82" s="171"/>
      <c r="U82" s="171"/>
      <c r="V82" s="171"/>
      <c r="W82" s="171"/>
      <c r="X82" s="171"/>
      <c r="Y82" s="171"/>
      <c r="Z82" s="171"/>
      <c r="AA82" s="171"/>
      <c r="AB82" s="171"/>
      <c r="AC82" s="171"/>
      <c r="AD82" s="171"/>
      <c r="AE82" s="171"/>
      <c r="AF82" s="171"/>
      <c r="AG82" s="171"/>
      <c r="AH82" s="171"/>
      <c r="AI82" s="171"/>
      <c r="AJ82" s="171"/>
      <c r="AK82" s="171"/>
      <c r="AL82" s="91"/>
      <c r="AM82" s="91"/>
      <c r="AN82" s="91"/>
      <c r="AO82" s="91"/>
      <c r="AP82" s="91"/>
      <c r="AQ82" s="91"/>
      <c r="AR82" s="80" t="str">
        <f>IF(WQCheck,"PGHS Area Managed","")</f>
        <v/>
      </c>
      <c r="AS82" s="165"/>
      <c r="AT82" s="81" t="str">
        <f>IF(WQCheck,"=","")</f>
        <v/>
      </c>
      <c r="AU82" s="165"/>
      <c r="AV82" s="207" t="str">
        <f>IFERROR(IF(AND(WQCheck,K82&gt;0),MIN(BH80,K82),""),"")</f>
        <v/>
      </c>
      <c r="AW82" s="207"/>
      <c r="AX82" s="207"/>
      <c r="AY82" s="207"/>
      <c r="AZ82" s="207"/>
      <c r="BA82" s="19" t="str">
        <f>IF(WQCheck,"sf","")</f>
        <v/>
      </c>
      <c r="BB82" s="23"/>
      <c r="BD82" s="24" t="s">
        <v>7</v>
      </c>
      <c r="BE82" s="37" t="e">
        <f>INDEX('Sizing Factors'!$H:$H,MATCH(C78&amp;K84&amp;$BD$82,'Sizing Factors'!$L:$L,0))</f>
        <v>#N/A</v>
      </c>
      <c r="BF82" s="37" t="e">
        <f>INDEX('Sizing Factors'!$I:$I,MATCH(C78&amp;K84&amp;$BD$82,'Sizing Factors'!$L:$L,0))</f>
        <v>#N/A</v>
      </c>
      <c r="BG82" s="37" t="e">
        <f>IF(BF82=0,
BE82*100&amp;"%",
ABS(BF82)&amp;" ] ÷ "&amp;BE82)</f>
        <v>#N/A</v>
      </c>
      <c r="BH82" s="38" t="str">
        <f>IF(PastureCheck,MAX((Z80-BF82)/BE82,0),"")</f>
        <v/>
      </c>
      <c r="BI82" s="41" t="e">
        <f>IF(K80&gt;10000,"Not applicable for contributing area &gt; 10,000 sf",INDEX('Sizing Factors'!$J:$J,MATCH(C78&amp;K84&amp;$BD$82,'Sizing Factors'!$L:$L,0)))</f>
        <v>#N/A</v>
      </c>
      <c r="BJ82" s="37" t="str">
        <f>IF(PastureCheck,ROUNDUP(K80*BE82+BF82,0),"")</f>
        <v/>
      </c>
      <c r="BK82" s="2"/>
      <c r="BL82" s="2"/>
      <c r="BM82" s="2"/>
      <c r="BN82" s="2"/>
      <c r="BO82" s="2"/>
      <c r="BP82" s="2"/>
      <c r="BQ82" s="2"/>
      <c r="BR82" s="2"/>
      <c r="BS82" s="2"/>
      <c r="BT82" s="2"/>
      <c r="BU82" s="2"/>
      <c r="BV82" s="2"/>
      <c r="BW82" s="2"/>
      <c r="BX82" s="2"/>
      <c r="BY82" s="2"/>
      <c r="BZ82" s="2"/>
      <c r="CA82" s="2"/>
      <c r="CB82" s="2"/>
      <c r="CC82" s="2"/>
      <c r="CD82" s="2"/>
      <c r="CE82" s="2"/>
      <c r="CF82" s="2"/>
    </row>
    <row r="83" spans="1:84" ht="3.75" customHeight="1" x14ac:dyDescent="0.2">
      <c r="A83" s="6"/>
      <c r="B83" s="14"/>
      <c r="C83" s="14"/>
      <c r="D83" s="73"/>
      <c r="E83" s="73"/>
      <c r="F83" s="7"/>
      <c r="G83" s="7"/>
      <c r="H83" s="7"/>
      <c r="I83" s="7"/>
      <c r="J83" s="7"/>
      <c r="K83" s="7"/>
      <c r="L83" s="7"/>
      <c r="M83" s="7"/>
      <c r="N83" s="7"/>
      <c r="O83" s="7"/>
      <c r="P83" s="7"/>
      <c r="Q83" s="171"/>
      <c r="R83" s="171"/>
      <c r="S83" s="171"/>
      <c r="T83" s="171"/>
      <c r="U83" s="171"/>
      <c r="V83" s="171"/>
      <c r="W83" s="171"/>
      <c r="X83" s="171"/>
      <c r="Y83" s="171"/>
      <c r="Z83" s="171"/>
      <c r="AA83" s="171"/>
      <c r="AB83" s="171"/>
      <c r="AC83" s="171"/>
      <c r="AD83" s="171"/>
      <c r="AE83" s="171"/>
      <c r="AF83" s="171"/>
      <c r="AG83" s="171"/>
      <c r="AH83" s="171"/>
      <c r="AI83" s="171"/>
      <c r="AJ83" s="171"/>
      <c r="AK83" s="171"/>
      <c r="AL83" s="7"/>
      <c r="AM83" s="7"/>
      <c r="AN83" s="7"/>
      <c r="AO83" s="7"/>
      <c r="AP83" s="7"/>
      <c r="AQ83" s="7"/>
      <c r="AR83" s="7"/>
      <c r="AS83" s="7"/>
      <c r="AT83" s="7"/>
      <c r="AU83" s="7"/>
      <c r="AV83" s="7"/>
      <c r="AW83" s="7"/>
      <c r="AX83" s="7"/>
      <c r="AY83" s="7"/>
      <c r="AZ83" s="7"/>
      <c r="BA83" s="7"/>
      <c r="BB83" s="8"/>
      <c r="BD83" s="24"/>
      <c r="BE83" s="37"/>
      <c r="BF83" s="37"/>
      <c r="BG83" s="37"/>
      <c r="BH83" s="37"/>
      <c r="BI83" s="37"/>
    </row>
    <row r="84" spans="1:84" s="24" customFormat="1" x14ac:dyDescent="0.2">
      <c r="A84" s="18"/>
      <c r="B84" s="20"/>
      <c r="C84" s="20"/>
      <c r="D84" s="76" t="s">
        <v>20</v>
      </c>
      <c r="E84" s="76"/>
      <c r="F84" s="19"/>
      <c r="G84" s="19"/>
      <c r="H84" s="19"/>
      <c r="I84" s="19"/>
      <c r="J84" s="19"/>
      <c r="K84" s="174"/>
      <c r="L84" s="174"/>
      <c r="M84" s="174"/>
      <c r="N84" s="174"/>
      <c r="O84" s="19" t="s">
        <v>44</v>
      </c>
      <c r="P84" s="19"/>
      <c r="Q84" s="171"/>
      <c r="R84" s="171"/>
      <c r="S84" s="171"/>
      <c r="T84" s="171"/>
      <c r="U84" s="171"/>
      <c r="V84" s="171"/>
      <c r="W84" s="171"/>
      <c r="X84" s="171"/>
      <c r="Y84" s="171"/>
      <c r="Z84" s="171"/>
      <c r="AA84" s="171"/>
      <c r="AB84" s="171"/>
      <c r="AC84" s="171"/>
      <c r="AD84" s="171"/>
      <c r="AE84" s="171"/>
      <c r="AF84" s="171"/>
      <c r="AG84" s="171"/>
      <c r="AH84" s="171"/>
      <c r="AI84" s="171"/>
      <c r="AJ84" s="171"/>
      <c r="AK84" s="171"/>
      <c r="AL84" s="19"/>
      <c r="AM84" s="19"/>
      <c r="AN84" s="19"/>
      <c r="AO84" s="19"/>
      <c r="AP84" s="19"/>
      <c r="AQ84" s="19"/>
      <c r="AR84" s="19"/>
      <c r="AS84" s="19"/>
      <c r="AT84" s="19"/>
      <c r="AU84" s="19"/>
      <c r="AV84" s="19"/>
      <c r="AW84" s="19"/>
      <c r="AX84" s="19"/>
      <c r="AY84" s="19"/>
      <c r="AZ84" s="19"/>
      <c r="BA84" s="19"/>
      <c r="BB84" s="23"/>
      <c r="BD84" s="24" t="s">
        <v>71</v>
      </c>
      <c r="BE84" s="37" t="e">
        <f>IF(K80&gt;10000,"NA",INDEX('Sizing Factors'!$H:$H,MATCH(C78&amp;K84&amp;$BD$84,'Sizing Factors'!$L:$L,0)))</f>
        <v>#N/A</v>
      </c>
      <c r="BF84" s="37" t="e">
        <f>INDEX('Sizing Factors'!$I:$I,MATCH(C78&amp;K84&amp;$BD$84,'Sizing Factors'!$L:$L,0))</f>
        <v>#N/A</v>
      </c>
      <c r="BG84" s="37" t="e">
        <f>IF(BF84=0,
BE84*100&amp;"%",
BF84&amp;" ] ÷ "&amp;BE84)</f>
        <v>#N/A</v>
      </c>
      <c r="BH84" s="38" t="str">
        <f>IF(PeakCheck,(Z80-BF84)/BE84,"")</f>
        <v/>
      </c>
      <c r="BI84" s="41" t="e">
        <f>IF(K80&gt;10000,"Not applicable for contributing area &gt; 10,000 sf",INDEX('Sizing Factors'!$J:$J,MATCH(C78&amp;K84&amp;$BD$84,'Sizing Factors'!$L:$L,0)))</f>
        <v>#N/A</v>
      </c>
      <c r="BJ84" s="37" t="str">
        <f>IF(PeakCheck,ROUNDUP(K80*BE84+BF84,0),"")</f>
        <v/>
      </c>
      <c r="BK84" s="2"/>
      <c r="BL84" s="2"/>
      <c r="BM84" s="2"/>
      <c r="BN84" s="2"/>
      <c r="BO84" s="2"/>
      <c r="BP84" s="2"/>
      <c r="BQ84" s="2"/>
      <c r="BR84" s="2"/>
      <c r="BS84" s="2"/>
      <c r="BT84" s="2"/>
      <c r="BU84" s="2"/>
      <c r="BV84" s="2"/>
      <c r="BW84" s="2"/>
      <c r="BX84" s="2"/>
      <c r="BY84" s="2"/>
      <c r="BZ84" s="2"/>
      <c r="CA84" s="2"/>
      <c r="CB84" s="2"/>
      <c r="CC84" s="2"/>
      <c r="CD84" s="2"/>
      <c r="CE84" s="2"/>
      <c r="CF84" s="2"/>
    </row>
    <row r="85" spans="1:84" ht="3.75" customHeight="1" x14ac:dyDescent="0.2">
      <c r="A85" s="6"/>
      <c r="B85" s="14"/>
      <c r="C85" s="14"/>
      <c r="D85" s="73"/>
      <c r="E85" s="73"/>
      <c r="F85" s="7"/>
      <c r="G85" s="7"/>
      <c r="H85" s="7"/>
      <c r="I85" s="7"/>
      <c r="J85" s="7"/>
      <c r="K85" s="7"/>
      <c r="L85" s="7"/>
      <c r="M85" s="7"/>
      <c r="N85" s="7"/>
      <c r="O85" s="7"/>
      <c r="P85" s="7"/>
      <c r="Q85" s="9"/>
      <c r="R85" s="7"/>
      <c r="S85" s="7"/>
      <c r="T85" s="7"/>
      <c r="U85" s="7"/>
      <c r="V85" s="7"/>
      <c r="W85" s="7"/>
      <c r="X85" s="7"/>
      <c r="Y85" s="7"/>
      <c r="Z85" s="7"/>
      <c r="AA85" s="7"/>
      <c r="AB85" s="7"/>
      <c r="AC85" s="7"/>
      <c r="AD85" s="7"/>
      <c r="AE85" s="7"/>
      <c r="AF85" s="7"/>
      <c r="AG85" s="7"/>
      <c r="AH85" s="35"/>
      <c r="AI85" s="35"/>
      <c r="AJ85" s="35"/>
      <c r="AK85" s="35"/>
      <c r="AL85" s="35"/>
      <c r="AM85" s="35"/>
      <c r="AN85" s="35"/>
      <c r="AO85" s="35"/>
      <c r="AP85" s="35"/>
      <c r="AQ85" s="35"/>
      <c r="AR85" s="35"/>
      <c r="AS85" s="7"/>
      <c r="AT85" s="7"/>
      <c r="AU85" s="7"/>
      <c r="AV85" s="7"/>
      <c r="AW85" s="7"/>
      <c r="AX85" s="7"/>
      <c r="AY85" s="7"/>
      <c r="AZ85" s="7"/>
      <c r="BA85" s="7"/>
      <c r="BB85" s="8"/>
      <c r="BD85" s="24"/>
      <c r="BE85" s="24"/>
      <c r="BF85" s="24"/>
      <c r="BG85" s="24"/>
      <c r="BH85" s="24"/>
      <c r="BI85" s="24"/>
      <c r="BK85" s="24"/>
      <c r="BL85" s="24"/>
      <c r="BM85" s="24"/>
      <c r="BN85" s="24"/>
      <c r="BO85" s="24"/>
    </row>
    <row r="86" spans="1:84" ht="14.25" x14ac:dyDescent="0.2">
      <c r="A86" s="6"/>
      <c r="B86" s="14"/>
      <c r="C86" s="14" t="s">
        <v>232</v>
      </c>
      <c r="D86" s="73"/>
      <c r="E86" s="73"/>
      <c r="F86" s="7"/>
      <c r="G86" s="7"/>
      <c r="H86" s="7"/>
      <c r="I86" s="7"/>
      <c r="J86" s="7"/>
      <c r="K86" s="7"/>
      <c r="L86" s="7"/>
      <c r="M86" s="7"/>
      <c r="N86" s="7"/>
      <c r="O86" s="7"/>
      <c r="P86" s="7"/>
      <c r="Q86" s="9"/>
      <c r="R86" s="7"/>
      <c r="S86" s="7"/>
      <c r="T86" s="7"/>
      <c r="U86" s="7"/>
      <c r="V86" s="7"/>
      <c r="W86" s="7"/>
      <c r="X86" s="7"/>
      <c r="Y86" s="7"/>
      <c r="Z86" s="7"/>
      <c r="AA86" s="7"/>
      <c r="AB86" s="7"/>
      <c r="AC86" s="7"/>
      <c r="AD86" s="7"/>
      <c r="AE86" s="7"/>
      <c r="AF86" s="7"/>
      <c r="AG86" s="7"/>
      <c r="AH86" s="176" t="str">
        <f>IF(Standard="","Select performance standard",IF(K88="","Enter contributing area",IF(K92="","Select trench depth",IF(K94="","Select infiltration rate",IF(Z90="","Enter trench length",IF(Z92="","Enter trench width",
IFERROR(_xlfn.XLOOKUP(MIN(BH88,BH90,BH92),BH88:BH92,BG88:BG92),
IF(PeakCheck,BI92,IF(PastureCheck,BI90,IF(WQCheck,BI88,""))))))))))</f>
        <v>Select performance standard</v>
      </c>
      <c r="AI86" s="176"/>
      <c r="AJ86" s="176"/>
      <c r="AK86" s="176"/>
      <c r="AL86" s="176"/>
      <c r="AM86" s="176"/>
      <c r="AN86" s="176"/>
      <c r="AO86" s="176"/>
      <c r="AP86" s="176"/>
      <c r="AQ86" s="176"/>
      <c r="AR86" s="176"/>
      <c r="AS86" s="7"/>
      <c r="AT86" s="7"/>
      <c r="AU86" s="7"/>
      <c r="AV86" s="7"/>
      <c r="AW86" s="7"/>
      <c r="AX86" s="7"/>
      <c r="AY86" s="7"/>
      <c r="AZ86" s="7"/>
      <c r="BA86" s="7"/>
      <c r="BB86" s="8"/>
      <c r="BD86" s="36" t="str">
        <f>C86</f>
        <v>Infiltration Trench3</v>
      </c>
      <c r="BE86" s="24"/>
      <c r="BF86" s="24"/>
      <c r="BG86" s="24"/>
      <c r="BH86" s="24"/>
      <c r="BI86" s="24"/>
      <c r="BK86" s="24"/>
      <c r="BL86" s="24"/>
      <c r="BM86" s="24"/>
      <c r="BN86" s="24"/>
      <c r="BO86" s="24"/>
      <c r="BP86" s="24"/>
      <c r="BQ86" s="24"/>
      <c r="BR86" s="24"/>
      <c r="BS86" s="24"/>
      <c r="BT86" s="24"/>
      <c r="BU86" s="24"/>
      <c r="BV86" s="24"/>
      <c r="BW86" s="24"/>
    </row>
    <row r="87" spans="1:84" ht="3.75" customHeight="1" x14ac:dyDescent="0.2">
      <c r="A87" s="6"/>
      <c r="B87" s="14"/>
      <c r="C87" s="14"/>
      <c r="D87" s="73"/>
      <c r="E87" s="73"/>
      <c r="F87" s="7"/>
      <c r="G87" s="7"/>
      <c r="H87" s="7"/>
      <c r="I87" s="7"/>
      <c r="J87" s="7"/>
      <c r="K87" s="7"/>
      <c r="L87" s="7"/>
      <c r="M87" s="7"/>
      <c r="N87" s="7"/>
      <c r="O87" s="7"/>
      <c r="P87" s="7"/>
      <c r="Q87" s="9"/>
      <c r="R87" s="7"/>
      <c r="S87" s="7"/>
      <c r="T87" s="7"/>
      <c r="U87" s="7"/>
      <c r="V87" s="7"/>
      <c r="W87" s="7"/>
      <c r="X87" s="7"/>
      <c r="Y87" s="7"/>
      <c r="Z87" s="7"/>
      <c r="AA87" s="7"/>
      <c r="AB87" s="7"/>
      <c r="AC87" s="7"/>
      <c r="AD87" s="7"/>
      <c r="AE87" s="7"/>
      <c r="AF87" s="7"/>
      <c r="AG87" s="7"/>
      <c r="AH87" s="176"/>
      <c r="AI87" s="176"/>
      <c r="AJ87" s="176"/>
      <c r="AK87" s="176"/>
      <c r="AL87" s="176"/>
      <c r="AM87" s="176"/>
      <c r="AN87" s="176"/>
      <c r="AO87" s="176"/>
      <c r="AP87" s="176"/>
      <c r="AQ87" s="176"/>
      <c r="AR87" s="176"/>
      <c r="AS87" s="7"/>
      <c r="AT87" s="7"/>
      <c r="AU87" s="7"/>
      <c r="AV87" s="7"/>
      <c r="AW87" s="7"/>
      <c r="AX87" s="7"/>
      <c r="AY87" s="7"/>
      <c r="AZ87" s="7"/>
      <c r="BA87" s="7"/>
      <c r="BB87" s="8"/>
      <c r="BD87" s="24"/>
      <c r="BE87" s="24"/>
      <c r="BF87" s="24"/>
      <c r="BG87" s="24"/>
      <c r="BH87" s="24"/>
      <c r="BI87" s="24"/>
      <c r="BK87" s="24"/>
      <c r="BL87" s="24"/>
      <c r="BM87" s="24"/>
      <c r="BN87" s="24"/>
      <c r="BO87" s="24"/>
    </row>
    <row r="88" spans="1:84" s="24" customFormat="1" ht="11.25" customHeight="1" x14ac:dyDescent="0.2">
      <c r="A88" s="18"/>
      <c r="B88" s="20"/>
      <c r="C88" s="20"/>
      <c r="D88" s="76" t="s">
        <v>19</v>
      </c>
      <c r="E88" s="76"/>
      <c r="F88" s="19"/>
      <c r="G88" s="19"/>
      <c r="H88" s="19"/>
      <c r="I88" s="19"/>
      <c r="J88" s="19"/>
      <c r="K88" s="173"/>
      <c r="L88" s="173"/>
      <c r="M88" s="173"/>
      <c r="N88" s="173"/>
      <c r="O88" s="19" t="s">
        <v>5</v>
      </c>
      <c r="P88" s="19"/>
      <c r="Q88" s="1" t="s">
        <v>49</v>
      </c>
      <c r="R88" s="19"/>
      <c r="S88" s="19"/>
      <c r="T88" s="19"/>
      <c r="U88" s="19"/>
      <c r="V88" s="19"/>
      <c r="W88" s="19"/>
      <c r="X88" s="19"/>
      <c r="Y88" s="21" t="str">
        <f>IFERROR(IF(AND(AH86=BG90,BF90&gt;0),"[ ",""),"")</f>
        <v/>
      </c>
      <c r="Z88" s="183" t="str">
        <f>IF(OR(Z90="",Z92=""),"",Z90*Z92)</f>
        <v/>
      </c>
      <c r="AA88" s="183"/>
      <c r="AB88" s="183"/>
      <c r="AC88" s="183"/>
      <c r="AD88" s="19" t="s">
        <v>5</v>
      </c>
      <c r="AE88" s="19"/>
      <c r="AF88" s="22" t="str">
        <f>IFERROR(IF(AH86=BG88,IF(BF88=0,"÷",IF(BF88&gt;0,"-","+")),
IF(AH86=BG90,IF(BF90=0,"÷",IF(BF90&gt;0,"-","+")),
IF(AH86=BG92,IF(BF92=0,"÷",IF(BF92&gt;0,"-","+")),":"))),":")</f>
        <v>:</v>
      </c>
      <c r="AG88" s="19"/>
      <c r="AH88" s="177"/>
      <c r="AI88" s="177"/>
      <c r="AJ88" s="177"/>
      <c r="AK88" s="177"/>
      <c r="AL88" s="177"/>
      <c r="AM88" s="177"/>
      <c r="AN88" s="177"/>
      <c r="AO88" s="177"/>
      <c r="AP88" s="177"/>
      <c r="AQ88" s="177"/>
      <c r="AR88" s="177"/>
      <c r="AS88" s="19"/>
      <c r="AT88" s="22" t="s">
        <v>108</v>
      </c>
      <c r="AU88" s="19"/>
      <c r="AV88" s="183" t="str">
        <f>IF(OR(Standard="",K88=""),"",IFERROR(MIN(IF(Standard=WQ,K90,K88),BH88,BH90,BH92),""))</f>
        <v/>
      </c>
      <c r="AW88" s="183"/>
      <c r="AX88" s="183"/>
      <c r="AY88" s="183"/>
      <c r="AZ88" s="183"/>
      <c r="BA88" s="19" t="s">
        <v>5</v>
      </c>
      <c r="BB88" s="23"/>
      <c r="BD88" s="24" t="s">
        <v>72</v>
      </c>
      <c r="BE88" s="37" t="e">
        <f>IF(K90&gt;10000,"NA",INDEX('Sizing Factors'!$H:$H,MATCH(C86&amp;K92&amp;K94&amp;$BD$88,'Sizing Factors'!$L:$L,0)))</f>
        <v>#N/A</v>
      </c>
      <c r="BF88" s="37" t="e">
        <f>INDEX('Sizing Factors'!$I:$I,MATCH(C86&amp;K92&amp;K94&amp;$BD$88,'Sizing Factors'!$L:$L,0))</f>
        <v>#N/A</v>
      </c>
      <c r="BG88" s="37" t="e">
        <f>IF(BF88=0,BE88*100&amp;"%",BF88&amp;" ] ÷ "&amp;BE88)</f>
        <v>#N/A</v>
      </c>
      <c r="BH88" s="38" t="str">
        <f>IF(WQCheck, MAX((Z88-BF88)/BE88,0),"")</f>
        <v/>
      </c>
      <c r="BI88" s="37" t="str">
        <f>IF(K90&gt;10000,"Not applicable for contributing area &gt; 10,000 sf","")</f>
        <v/>
      </c>
      <c r="BJ88" s="37" t="str">
        <f>IF(WQCheck,ROUNDUP(K90*BE88+BF88,0),"")</f>
        <v/>
      </c>
    </row>
    <row r="89" spans="1:84" ht="3.75" customHeight="1" x14ac:dyDescent="0.2">
      <c r="A89" s="6"/>
      <c r="B89" s="14"/>
      <c r="C89" s="14"/>
      <c r="D89" s="73"/>
      <c r="E89" s="73"/>
      <c r="F89" s="7"/>
      <c r="G89" s="7"/>
      <c r="H89" s="7"/>
      <c r="I89" s="7"/>
      <c r="J89" s="7"/>
      <c r="K89" s="7"/>
      <c r="L89" s="7"/>
      <c r="M89" s="7"/>
      <c r="N89" s="7"/>
      <c r="O89" s="7"/>
      <c r="P89" s="7"/>
      <c r="Q89" s="9"/>
      <c r="R89" s="7"/>
      <c r="S89" s="7"/>
      <c r="T89" s="7"/>
      <c r="U89" s="7"/>
      <c r="V89" s="7"/>
      <c r="W89" s="7"/>
      <c r="X89" s="7"/>
      <c r="Y89" s="15"/>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8"/>
      <c r="BD89" s="24"/>
      <c r="BE89" s="24"/>
      <c r="BF89" s="24"/>
      <c r="BG89" s="24"/>
      <c r="BH89" s="24"/>
      <c r="BI89" s="24"/>
      <c r="BK89" s="24"/>
      <c r="BL89" s="24"/>
      <c r="BM89" s="24"/>
      <c r="BN89" s="24"/>
      <c r="BO89" s="24"/>
    </row>
    <row r="90" spans="1:84" s="24" customFormat="1" ht="11.25" customHeight="1" x14ac:dyDescent="0.2">
      <c r="A90" s="18"/>
      <c r="B90" s="20"/>
      <c r="C90" s="20"/>
      <c r="D90" s="172" t="s">
        <v>224</v>
      </c>
      <c r="E90" s="172"/>
      <c r="F90" s="172"/>
      <c r="G90" s="172"/>
      <c r="H90" s="172"/>
      <c r="I90" s="172"/>
      <c r="J90" s="172"/>
      <c r="K90" s="173"/>
      <c r="L90" s="173"/>
      <c r="M90" s="173"/>
      <c r="N90" s="173"/>
      <c r="O90" s="19" t="s">
        <v>5</v>
      </c>
      <c r="P90" s="19"/>
      <c r="Q90" s="1" t="s">
        <v>47</v>
      </c>
      <c r="R90" s="19"/>
      <c r="S90" s="19"/>
      <c r="T90" s="19"/>
      <c r="U90" s="19"/>
      <c r="V90" s="19"/>
      <c r="W90" s="19"/>
      <c r="X90" s="19"/>
      <c r="Y90" s="21"/>
      <c r="Z90" s="173"/>
      <c r="AA90" s="173"/>
      <c r="AB90" s="173"/>
      <c r="AC90" s="173"/>
      <c r="AD90" s="19" t="s">
        <v>46</v>
      </c>
      <c r="AE90" s="19"/>
      <c r="AF90" s="19"/>
      <c r="AG90" s="19"/>
      <c r="AH90" s="19"/>
      <c r="AI90" s="160"/>
      <c r="AJ90" s="160"/>
      <c r="AK90" s="160"/>
      <c r="AL90" s="160"/>
      <c r="AM90" s="160"/>
      <c r="AN90" s="160"/>
      <c r="AO90" s="160"/>
      <c r="AP90" s="160"/>
      <c r="AQ90" s="160"/>
      <c r="AR90" s="80" t="str">
        <f>IF(WQCheck,"PGHS Area Managed","")</f>
        <v/>
      </c>
      <c r="AS90" s="165"/>
      <c r="AT90" s="81" t="str">
        <f>IF(WQCheck,"=","")</f>
        <v/>
      </c>
      <c r="AU90" s="165"/>
      <c r="AV90" s="207" t="str">
        <f>IFERROR(IF(AND(WQCheck,K90&gt;0),MIN(BH88,K90),""),"")</f>
        <v/>
      </c>
      <c r="AW90" s="207"/>
      <c r="AX90" s="207"/>
      <c r="AY90" s="207"/>
      <c r="AZ90" s="207"/>
      <c r="BA90" s="19" t="str">
        <f>IF(WQCheck,"sf","")</f>
        <v/>
      </c>
      <c r="BB90" s="23"/>
      <c r="BD90" s="24" t="s">
        <v>7</v>
      </c>
      <c r="BE90" s="37" t="e">
        <f>INDEX('Sizing Factors'!$H:$H,MATCH(C86&amp;K92&amp;K94&amp;IF(K88&lt;=2000,"02000",IF(K88&lt;=10000,"200010000","x"))&amp;$BD$90,'Sizing Factors'!$L:$L,0))</f>
        <v>#N/A</v>
      </c>
      <c r="BF90" s="37" t="e">
        <f>INDEX('Sizing Factors'!$I:$I,MATCH(C86&amp;K92&amp;K94&amp;IF(K88&lt;=2000,"02000",IF(K88&lt;=10000,"200010000","x"))&amp;$BD$90,'Sizing Factors'!$L:$L,0))</f>
        <v>#N/A</v>
      </c>
      <c r="BG90" s="37" t="e">
        <f>IF(BF90=0,BE90*100&amp;"%",BF90&amp;" ] ÷ "&amp;BE90)</f>
        <v>#N/A</v>
      </c>
      <c r="BH90" s="38" t="str">
        <f>IF(PastureCheck,MAX((Z88-BF90)/BE90,0),"")</f>
        <v/>
      </c>
      <c r="BI90" s="24" t="str">
        <f>IF(K88&gt;10000,"Not applicable for contributing area &gt; 10,000 sf","")</f>
        <v/>
      </c>
      <c r="BJ90" s="37" t="str">
        <f>IF(PastureCheck,ROUNDUP(K88*BE90+BF90,0),"")</f>
        <v/>
      </c>
    </row>
    <row r="91" spans="1:84" ht="3.75" customHeight="1" x14ac:dyDescent="0.2">
      <c r="A91" s="6"/>
      <c r="B91" s="14"/>
      <c r="C91" s="14"/>
      <c r="D91" s="73"/>
      <c r="E91" s="73"/>
      <c r="F91" s="7"/>
      <c r="G91" s="7"/>
      <c r="H91" s="7"/>
      <c r="I91" s="7"/>
      <c r="J91" s="7"/>
      <c r="K91" s="7"/>
      <c r="L91" s="7"/>
      <c r="M91" s="7"/>
      <c r="N91" s="7"/>
      <c r="O91" s="7"/>
      <c r="P91" s="7"/>
      <c r="Q91" s="9"/>
      <c r="R91" s="7"/>
      <c r="S91" s="7"/>
      <c r="T91" s="7"/>
      <c r="U91" s="7"/>
      <c r="V91" s="7"/>
      <c r="W91" s="7"/>
      <c r="X91" s="7"/>
      <c r="Y91" s="15"/>
      <c r="Z91" s="7"/>
      <c r="AA91" s="7"/>
      <c r="AB91" s="7"/>
      <c r="AC91" s="7"/>
      <c r="AD91" s="7"/>
      <c r="AE91" s="7"/>
      <c r="AF91" s="7"/>
      <c r="AG91" s="7"/>
      <c r="AH91" s="160"/>
      <c r="AI91" s="160"/>
      <c r="AJ91" s="160"/>
      <c r="AK91" s="160"/>
      <c r="AL91" s="160"/>
      <c r="AM91" s="160"/>
      <c r="AN91" s="160"/>
      <c r="AO91" s="160"/>
      <c r="AP91" s="160"/>
      <c r="AQ91" s="160"/>
      <c r="AR91" s="160"/>
      <c r="AS91" s="160"/>
      <c r="AT91" s="160"/>
      <c r="AU91" s="160"/>
      <c r="AV91" s="160"/>
      <c r="AW91" s="160"/>
      <c r="AX91" s="160"/>
      <c r="AY91" s="160"/>
      <c r="AZ91" s="160"/>
      <c r="BA91" s="7"/>
      <c r="BB91" s="8"/>
      <c r="BD91" s="24"/>
      <c r="BE91" s="24"/>
      <c r="BF91" s="24"/>
      <c r="BG91" s="24"/>
      <c r="BH91" s="37"/>
      <c r="BI91" s="24"/>
      <c r="BK91" s="24"/>
      <c r="BL91" s="24"/>
      <c r="BM91" s="24"/>
      <c r="BN91" s="24"/>
      <c r="BO91" s="24"/>
    </row>
    <row r="92" spans="1:84" s="24" customFormat="1" ht="11.25" customHeight="1" x14ac:dyDescent="0.2">
      <c r="A92" s="18"/>
      <c r="B92" s="20"/>
      <c r="C92" s="20"/>
      <c r="D92" s="76" t="s">
        <v>29</v>
      </c>
      <c r="E92" s="76"/>
      <c r="F92" s="19"/>
      <c r="G92" s="19"/>
      <c r="H92" s="19"/>
      <c r="I92" s="19"/>
      <c r="J92" s="19"/>
      <c r="K92" s="174"/>
      <c r="L92" s="174"/>
      <c r="M92" s="174"/>
      <c r="N92" s="174"/>
      <c r="O92" s="19" t="s">
        <v>46</v>
      </c>
      <c r="P92" s="19"/>
      <c r="Q92" s="1" t="s">
        <v>48</v>
      </c>
      <c r="R92" s="19"/>
      <c r="S92" s="19"/>
      <c r="T92" s="19"/>
      <c r="U92" s="19"/>
      <c r="V92" s="19"/>
      <c r="W92" s="19"/>
      <c r="X92" s="19"/>
      <c r="Y92" s="21"/>
      <c r="Z92" s="173"/>
      <c r="AA92" s="173"/>
      <c r="AB92" s="173"/>
      <c r="AC92" s="173"/>
      <c r="AD92" s="19" t="s">
        <v>46</v>
      </c>
      <c r="AE92" s="19"/>
      <c r="AF92" s="19"/>
      <c r="AG92" s="19"/>
      <c r="AH92" s="160"/>
      <c r="AI92" s="160"/>
      <c r="AJ92" s="160"/>
      <c r="AK92" s="160"/>
      <c r="AL92" s="160"/>
      <c r="AM92" s="160"/>
      <c r="AN92" s="160"/>
      <c r="AO92" s="160"/>
      <c r="AP92" s="160"/>
      <c r="AQ92" s="160"/>
      <c r="AR92" s="160"/>
      <c r="AS92" s="160"/>
      <c r="AT92" s="160"/>
      <c r="AU92" s="160"/>
      <c r="AV92" s="160"/>
      <c r="AW92" s="160"/>
      <c r="AX92" s="160"/>
      <c r="AY92" s="160"/>
      <c r="AZ92" s="160"/>
      <c r="BA92" s="19"/>
      <c r="BB92" s="23"/>
      <c r="BD92" s="24" t="s">
        <v>71</v>
      </c>
      <c r="BE92" s="37" t="e">
        <f>IF(K88&gt;10000,"NA",INDEX('Sizing Factors'!$H:$H,MATCH(C86&amp;K92&amp;K94&amp;$BD$92,'Sizing Factors'!$L:$L,0)))</f>
        <v>#N/A</v>
      </c>
      <c r="BF92" s="37" t="e">
        <f>INDEX('Sizing Factors'!$I:$I,MATCH(C86&amp;K92&amp;K94&amp;$BD$92,'Sizing Factors'!$L:$L,0))</f>
        <v>#N/A</v>
      </c>
      <c r="BG92" s="37" t="e">
        <f>IF(BF92=0,BE92*100&amp;"%",BF92&amp;" ] ÷ "&amp;BE92)</f>
        <v>#N/A</v>
      </c>
      <c r="BH92" s="38" t="str">
        <f>IF(PeakCheck,(Z88-BF92)/BE92,"")</f>
        <v/>
      </c>
      <c r="BI92" s="24" t="str">
        <f>IF(K88&gt;10000,"Not applicable for contributing area &gt; 10,000 sf","")</f>
        <v/>
      </c>
      <c r="BJ92" s="37" t="str">
        <f>IF(PeakCheck,ROUNDUP(K88*BE92+BF92,0),"")</f>
        <v/>
      </c>
      <c r="BP92" s="2"/>
      <c r="BQ92" s="2"/>
      <c r="BR92" s="2"/>
      <c r="BS92" s="2"/>
      <c r="BT92" s="2"/>
      <c r="BU92" s="2"/>
      <c r="BV92" s="2"/>
      <c r="BW92" s="2"/>
    </row>
    <row r="93" spans="1:84" s="24" customFormat="1" ht="3.75" customHeight="1" x14ac:dyDescent="0.2">
      <c r="A93" s="18"/>
      <c r="B93" s="20"/>
      <c r="C93" s="20"/>
      <c r="D93" s="76"/>
      <c r="E93" s="76"/>
      <c r="F93" s="19"/>
      <c r="G93" s="19"/>
      <c r="H93" s="19"/>
      <c r="I93" s="19"/>
      <c r="J93" s="19"/>
      <c r="K93" s="19"/>
      <c r="L93" s="19"/>
      <c r="M93" s="19"/>
      <c r="N93" s="19"/>
      <c r="O93" s="19"/>
      <c r="P93" s="19"/>
      <c r="Q93" s="19"/>
      <c r="R93" s="19"/>
      <c r="S93" s="19"/>
      <c r="T93" s="19"/>
      <c r="U93" s="19"/>
      <c r="V93" s="19"/>
      <c r="W93" s="19"/>
      <c r="X93" s="19"/>
      <c r="Y93" s="21"/>
      <c r="Z93" s="21"/>
      <c r="AA93" s="21"/>
      <c r="AB93" s="21"/>
      <c r="AC93" s="21"/>
      <c r="AD93" s="21"/>
      <c r="AE93" s="19"/>
      <c r="AF93" s="19"/>
      <c r="AG93" s="19"/>
      <c r="AH93" s="163"/>
      <c r="AI93" s="163"/>
      <c r="AJ93" s="163"/>
      <c r="AK93" s="163"/>
      <c r="AL93" s="163"/>
      <c r="AM93" s="163"/>
      <c r="AN93" s="163"/>
      <c r="AO93" s="163"/>
      <c r="AP93" s="163"/>
      <c r="AQ93" s="163"/>
      <c r="AR93" s="163"/>
      <c r="AS93" s="163"/>
      <c r="AT93" s="163"/>
      <c r="AU93" s="163"/>
      <c r="AV93" s="163"/>
      <c r="AW93" s="163"/>
      <c r="AX93" s="163"/>
      <c r="AY93" s="163"/>
      <c r="AZ93" s="163"/>
      <c r="BA93" s="19"/>
      <c r="BB93" s="23"/>
      <c r="BE93" s="37"/>
      <c r="BF93" s="37"/>
      <c r="BG93" s="37"/>
      <c r="BH93" s="38"/>
      <c r="BJ93" s="37"/>
      <c r="BP93" s="2"/>
      <c r="BQ93" s="2"/>
      <c r="BR93" s="2"/>
      <c r="BS93" s="2"/>
      <c r="BT93" s="2"/>
      <c r="BU93" s="2"/>
      <c r="BV93" s="2"/>
      <c r="BW93" s="2"/>
    </row>
    <row r="94" spans="1:84" s="24" customFormat="1" ht="11.25" customHeight="1" x14ac:dyDescent="0.2">
      <c r="A94" s="18"/>
      <c r="B94" s="20"/>
      <c r="C94" s="20"/>
      <c r="D94" s="76" t="s">
        <v>138</v>
      </c>
      <c r="E94" s="76"/>
      <c r="F94" s="19"/>
      <c r="G94" s="19"/>
      <c r="H94" s="19"/>
      <c r="I94" s="19"/>
      <c r="J94" s="19"/>
      <c r="K94" s="174"/>
      <c r="L94" s="174"/>
      <c r="M94" s="174"/>
      <c r="N94" s="174"/>
      <c r="O94" s="19" t="s">
        <v>45</v>
      </c>
      <c r="P94" s="19"/>
      <c r="Q94" s="208" t="str">
        <f>IFERROR(IF(OR(K88="",Z88=""),"",
IF(AND(Z88&lt;&gt;MAX(BJ90,BJ92), MAX(BJ90,BJ92)&gt;0),"Infiltration trench to meet Flow Control Standard is "&amp;MAX(BJ90,BJ92)&amp;" sf.  ","")&amp;
IF(AND(Z88&lt;&gt;BJ88,BJ88&lt;&gt;""),"Infiltration trench to meet WQ Treatment Standard is "&amp;BJ88 &amp;" sf","")),"")</f>
        <v/>
      </c>
      <c r="R94" s="208"/>
      <c r="S94" s="208"/>
      <c r="T94" s="208"/>
      <c r="U94" s="208"/>
      <c r="V94" s="208"/>
      <c r="W94" s="208"/>
      <c r="X94" s="208"/>
      <c r="Y94" s="208"/>
      <c r="Z94" s="208"/>
      <c r="AA94" s="208"/>
      <c r="AB94" s="208"/>
      <c r="AC94" s="208"/>
      <c r="AD94" s="208"/>
      <c r="AE94" s="208"/>
      <c r="AF94" s="208"/>
      <c r="AG94" s="208"/>
      <c r="AH94" s="208"/>
      <c r="AI94" s="208"/>
      <c r="AJ94" s="208"/>
      <c r="AK94" s="208"/>
      <c r="AL94" s="208"/>
      <c r="AM94" s="208"/>
      <c r="AN94" s="208"/>
      <c r="AO94" s="208"/>
      <c r="AP94" s="208"/>
      <c r="AQ94" s="208"/>
      <c r="AR94" s="208"/>
      <c r="AS94" s="208"/>
      <c r="AT94" s="208"/>
      <c r="AU94" s="208"/>
      <c r="AV94" s="208"/>
      <c r="AW94" s="208"/>
      <c r="AX94" s="208"/>
      <c r="AY94" s="208"/>
      <c r="AZ94" s="208"/>
      <c r="BA94" s="19"/>
      <c r="BB94" s="23"/>
      <c r="BE94" s="37"/>
      <c r="BF94" s="37"/>
      <c r="BG94" s="37"/>
      <c r="BH94" s="38"/>
      <c r="BJ94" s="37"/>
      <c r="BP94" s="2"/>
      <c r="BQ94" s="2"/>
      <c r="BR94" s="2"/>
      <c r="BS94" s="2"/>
      <c r="BT94" s="2"/>
      <c r="BU94" s="2"/>
      <c r="BV94" s="2"/>
      <c r="BW94" s="2"/>
    </row>
    <row r="95" spans="1:84" ht="3.75" customHeight="1" x14ac:dyDescent="0.2">
      <c r="A95" s="6"/>
      <c r="B95" s="14"/>
      <c r="C95" s="14"/>
      <c r="D95" s="73"/>
      <c r="E95" s="73"/>
      <c r="F95" s="7"/>
      <c r="G95" s="7"/>
      <c r="H95" s="7"/>
      <c r="I95" s="7"/>
      <c r="J95" s="7"/>
      <c r="K95" s="7"/>
      <c r="L95" s="7"/>
      <c r="M95" s="7"/>
      <c r="N95" s="7"/>
      <c r="O95" s="7"/>
      <c r="P95" s="7"/>
      <c r="Q95" s="9"/>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8"/>
      <c r="BD95" s="24"/>
      <c r="BE95" s="24"/>
      <c r="BF95" s="24"/>
      <c r="BG95" s="24"/>
      <c r="BH95" s="24"/>
      <c r="BI95" s="24"/>
      <c r="BK95" s="24"/>
      <c r="BL95" s="24"/>
      <c r="BM95" s="24"/>
      <c r="BN95" s="24"/>
      <c r="BO95" s="24"/>
    </row>
    <row r="96" spans="1:84" x14ac:dyDescent="0.2">
      <c r="A96" s="6"/>
      <c r="B96" s="14"/>
      <c r="C96" s="14" t="s">
        <v>87</v>
      </c>
      <c r="D96" s="73"/>
      <c r="E96" s="73"/>
      <c r="F96" s="7"/>
      <c r="G96" s="7"/>
      <c r="H96" s="7"/>
      <c r="I96" s="7"/>
      <c r="J96" s="7"/>
      <c r="K96" s="164" t="str">
        <f>IF(WQCheck,"(does not meet WQ Treatment Standard)","")</f>
        <v/>
      </c>
      <c r="L96" s="7"/>
      <c r="M96" s="7"/>
      <c r="N96" s="7"/>
      <c r="O96" s="7"/>
      <c r="P96" s="7"/>
      <c r="Q96" s="9"/>
      <c r="R96" s="7"/>
      <c r="S96" s="7"/>
      <c r="T96" s="7"/>
      <c r="U96" s="7"/>
      <c r="V96" s="7"/>
      <c r="W96" s="7"/>
      <c r="X96" s="7"/>
      <c r="Y96" s="7"/>
      <c r="Z96" s="7"/>
      <c r="AA96" s="7"/>
      <c r="AB96" s="7"/>
      <c r="AC96" s="7"/>
      <c r="AD96" s="7"/>
      <c r="AE96" s="7"/>
      <c r="AF96" s="7"/>
      <c r="AG96" s="7"/>
      <c r="AH96" s="176" t="str">
        <f>IF(Standard="","Select performance standard",
IF(K98="","Enter contributing area",IF(K100="","Select well depth",IF(K102="","Select infiltration rate",IF(Z98="","Enter drywell area",
IFERROR(_xlfn.XLOOKUP(MIN(BH98,BH100),BH98:BH100,BG98:BG100),
IF(PeakCheck,BI100,IF(PastureCheck,BI98,""))))))))</f>
        <v>Select performance standard</v>
      </c>
      <c r="AI96" s="176"/>
      <c r="AJ96" s="176"/>
      <c r="AK96" s="176"/>
      <c r="AL96" s="176"/>
      <c r="AM96" s="176"/>
      <c r="AN96" s="176"/>
      <c r="AO96" s="176"/>
      <c r="AP96" s="176"/>
      <c r="AQ96" s="176"/>
      <c r="AR96" s="176"/>
      <c r="AS96" s="7"/>
      <c r="AT96" s="7"/>
      <c r="AU96" s="7"/>
      <c r="AV96" s="7"/>
      <c r="AW96" s="7"/>
      <c r="AX96" s="7"/>
      <c r="AY96" s="7"/>
      <c r="AZ96" s="7"/>
      <c r="BA96" s="7"/>
      <c r="BB96" s="8"/>
      <c r="BD96" s="36" t="str">
        <f>C96</f>
        <v>Drywell</v>
      </c>
      <c r="BE96" s="24"/>
      <c r="BF96" s="24"/>
      <c r="BG96" s="24"/>
      <c r="BH96" s="24"/>
      <c r="BI96" s="24"/>
      <c r="BK96" s="24"/>
      <c r="BL96" s="24"/>
      <c r="BM96" s="24"/>
      <c r="BN96" s="24"/>
      <c r="BO96" s="24"/>
      <c r="BP96" s="24"/>
      <c r="BQ96" s="24"/>
      <c r="BR96" s="24"/>
      <c r="BS96" s="24"/>
      <c r="BT96" s="24"/>
      <c r="BU96" s="24"/>
      <c r="BV96" s="24"/>
      <c r="BW96" s="24"/>
    </row>
    <row r="97" spans="1:83" ht="3.75" customHeight="1" x14ac:dyDescent="0.2">
      <c r="A97" s="6"/>
      <c r="B97" s="14"/>
      <c r="C97" s="14"/>
      <c r="D97" s="73"/>
      <c r="E97" s="73"/>
      <c r="F97" s="7"/>
      <c r="G97" s="7"/>
      <c r="H97" s="7"/>
      <c r="I97" s="7"/>
      <c r="J97" s="7"/>
      <c r="K97" s="7"/>
      <c r="L97" s="7"/>
      <c r="M97" s="7"/>
      <c r="N97" s="7"/>
      <c r="O97" s="7"/>
      <c r="P97" s="7"/>
      <c r="Q97" s="9"/>
      <c r="R97" s="7"/>
      <c r="S97" s="7"/>
      <c r="T97" s="7"/>
      <c r="U97" s="7"/>
      <c r="V97" s="7"/>
      <c r="W97" s="7"/>
      <c r="X97" s="7"/>
      <c r="Y97" s="7"/>
      <c r="Z97" s="7"/>
      <c r="AA97" s="7"/>
      <c r="AB97" s="7"/>
      <c r="AC97" s="7"/>
      <c r="AD97" s="7"/>
      <c r="AE97" s="7"/>
      <c r="AF97" s="7"/>
      <c r="AG97" s="7"/>
      <c r="AH97" s="176"/>
      <c r="AI97" s="176"/>
      <c r="AJ97" s="176"/>
      <c r="AK97" s="176"/>
      <c r="AL97" s="176"/>
      <c r="AM97" s="176"/>
      <c r="AN97" s="176"/>
      <c r="AO97" s="176"/>
      <c r="AP97" s="176"/>
      <c r="AQ97" s="176"/>
      <c r="AR97" s="176"/>
      <c r="AS97" s="7"/>
      <c r="AT97" s="7"/>
      <c r="AU97" s="7"/>
      <c r="AV97" s="7"/>
      <c r="AW97" s="7"/>
      <c r="AX97" s="7"/>
      <c r="AY97" s="7"/>
      <c r="AZ97" s="7"/>
      <c r="BA97" s="7"/>
      <c r="BB97" s="8"/>
      <c r="BD97" s="24"/>
      <c r="BE97" s="24"/>
      <c r="BF97" s="24"/>
      <c r="BG97" s="24"/>
      <c r="BH97" s="24"/>
      <c r="BI97" s="24"/>
      <c r="BK97" s="24"/>
      <c r="BL97" s="24"/>
      <c r="BM97" s="24"/>
      <c r="BN97" s="24"/>
      <c r="BO97" s="24"/>
    </row>
    <row r="98" spans="1:83" s="24" customFormat="1" ht="11.25" customHeight="1" x14ac:dyDescent="0.2">
      <c r="A98" s="18"/>
      <c r="B98" s="20"/>
      <c r="C98" s="20"/>
      <c r="D98" s="76" t="s">
        <v>19</v>
      </c>
      <c r="E98" s="76"/>
      <c r="F98" s="19"/>
      <c r="G98" s="19"/>
      <c r="H98" s="19"/>
      <c r="I98" s="19"/>
      <c r="J98" s="19"/>
      <c r="K98" s="173"/>
      <c r="L98" s="173"/>
      <c r="M98" s="173"/>
      <c r="N98" s="173"/>
      <c r="O98" s="19" t="s">
        <v>5</v>
      </c>
      <c r="P98" s="19"/>
      <c r="Q98" s="1" t="s">
        <v>51</v>
      </c>
      <c r="R98" s="19"/>
      <c r="S98" s="19"/>
      <c r="T98" s="19"/>
      <c r="U98" s="19"/>
      <c r="V98" s="19"/>
      <c r="W98" s="19"/>
      <c r="X98" s="19"/>
      <c r="Y98" s="21" t="str">
        <f>IFERROR(IF(AND(AH96=BG98,BF98&gt;0),"[ ",""),"")</f>
        <v/>
      </c>
      <c r="Z98" s="173"/>
      <c r="AA98" s="173"/>
      <c r="AB98" s="173"/>
      <c r="AC98" s="173"/>
      <c r="AD98" s="19" t="s">
        <v>5</v>
      </c>
      <c r="AE98" s="19"/>
      <c r="AF98" s="22" t="str">
        <f>IFERROR(IF(AH96=BG98,IF(BF98=0,"÷",IF(BF98&gt;0,"-","+")),
IF(AH96=BG100,IF(BF100=0,"÷",IF(BF100&gt;0,"-","+")),":")),":")</f>
        <v>:</v>
      </c>
      <c r="AG98" s="19"/>
      <c r="AH98" s="177"/>
      <c r="AI98" s="177"/>
      <c r="AJ98" s="177"/>
      <c r="AK98" s="177"/>
      <c r="AL98" s="177"/>
      <c r="AM98" s="177"/>
      <c r="AN98" s="177"/>
      <c r="AO98" s="177"/>
      <c r="AP98" s="177"/>
      <c r="AQ98" s="177"/>
      <c r="AR98" s="177"/>
      <c r="AS98" s="19"/>
      <c r="AT98" s="22" t="s">
        <v>108</v>
      </c>
      <c r="AU98" s="19"/>
      <c r="AV98" s="183" t="str">
        <f>IF(OR(Standard="",K98=""),"",IFERROR(MIN(K98,BH98,BH100),""))</f>
        <v/>
      </c>
      <c r="AW98" s="183"/>
      <c r="AX98" s="183"/>
      <c r="AY98" s="183"/>
      <c r="AZ98" s="183"/>
      <c r="BA98" s="19" t="s">
        <v>5</v>
      </c>
      <c r="BB98" s="23"/>
      <c r="BD98" s="24" t="s">
        <v>7</v>
      </c>
      <c r="BE98" s="37" t="e">
        <f>INDEX('Sizing Factors'!$H:$H,MATCH(C96&amp;K100&amp;K102&amp;IF(K98&lt;=2000,"02000",IF(K98&lt;=10000,"200010000","x"))&amp;$BD$98,'Sizing Factors'!$L:$L,0))</f>
        <v>#N/A</v>
      </c>
      <c r="BF98" s="37" t="e">
        <f>INDEX('Sizing Factors'!$I:$I,MATCH(C96&amp;K100&amp;K102&amp;IF(K98&lt;=2000,"02000",IF(K98&lt;=10000,"200010000","x"))&amp;$BD$98,'Sizing Factors'!$L:$L,0))</f>
        <v>#N/A</v>
      </c>
      <c r="BG98" s="37" t="e">
        <f>IF(BF98=0,BE98*100&amp;"%",BF98&amp;" ] ÷ "&amp;BE98)</f>
        <v>#N/A</v>
      </c>
      <c r="BH98" s="38" t="str">
        <f>IF(PastureCheck, IF(Z98&gt;=12.5,MAX(($Z$98-$BF$98)/$BE$98,0),NA()),"")</f>
        <v/>
      </c>
      <c r="BI98" s="24" t="str">
        <f>IF(K98&gt;10000,"Not applicable for contributing area &gt; 10,000 sf","")</f>
        <v/>
      </c>
      <c r="BJ98" s="37" t="str">
        <f>IF(PastureCheck,MAX(13,ROUNDUP(K98*BE98+BF98,0)),"")</f>
        <v/>
      </c>
    </row>
    <row r="99" spans="1:83" ht="3.75" customHeight="1" x14ac:dyDescent="0.2">
      <c r="A99" s="6"/>
      <c r="B99" s="14"/>
      <c r="C99" s="14"/>
      <c r="D99" s="73"/>
      <c r="E99" s="73"/>
      <c r="F99" s="7"/>
      <c r="G99" s="7"/>
      <c r="H99" s="7"/>
      <c r="I99" s="7"/>
      <c r="J99" s="7"/>
      <c r="K99" s="7"/>
      <c r="L99" s="7"/>
      <c r="M99" s="7"/>
      <c r="N99" s="7"/>
      <c r="O99" s="7"/>
      <c r="P99" s="7"/>
      <c r="Q99" s="9"/>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8"/>
      <c r="BD99" s="24"/>
      <c r="BE99" s="24"/>
      <c r="BF99" s="24"/>
      <c r="BG99" s="24"/>
      <c r="BH99" s="24"/>
      <c r="BI99" s="24"/>
      <c r="BK99" s="24"/>
      <c r="BL99" s="24"/>
      <c r="BM99" s="24"/>
      <c r="BN99" s="24"/>
      <c r="BO99" s="24"/>
    </row>
    <row r="100" spans="1:83" x14ac:dyDescent="0.2">
      <c r="A100" s="18"/>
      <c r="B100" s="20"/>
      <c r="C100" s="20"/>
      <c r="D100" s="76" t="s">
        <v>30</v>
      </c>
      <c r="E100" s="76"/>
      <c r="F100" s="19"/>
      <c r="G100" s="19"/>
      <c r="H100" s="19"/>
      <c r="I100" s="19"/>
      <c r="J100" s="19"/>
      <c r="K100" s="174"/>
      <c r="L100" s="174"/>
      <c r="M100" s="174"/>
      <c r="N100" s="174"/>
      <c r="O100" s="19" t="s">
        <v>46</v>
      </c>
      <c r="P100" s="7"/>
      <c r="Q100" s="208" t="str">
        <f>IF(K98="","",IFERROR(
IF(AND(Z98&lt;&gt;MAX(BJ100,BJ98), MAX(BJ100,BJ98)&gt;0),"Drywell facility to fully manage area is "&amp;MAX(BJ100,BJ98)&amp;" sf",""),"")
)</f>
        <v/>
      </c>
      <c r="R100" s="208"/>
      <c r="S100" s="208"/>
      <c r="T100" s="208"/>
      <c r="U100" s="208"/>
      <c r="V100" s="208"/>
      <c r="W100" s="208"/>
      <c r="X100" s="208"/>
      <c r="Y100" s="208"/>
      <c r="Z100" s="208"/>
      <c r="AA100" s="208"/>
      <c r="AB100" s="208"/>
      <c r="AC100" s="208"/>
      <c r="AD100" s="208"/>
      <c r="AE100" s="208"/>
      <c r="AF100" s="208"/>
      <c r="AG100" s="208"/>
      <c r="AH100" s="208"/>
      <c r="AI100" s="208"/>
      <c r="AJ100" s="208"/>
      <c r="AK100" s="208"/>
      <c r="AL100" s="208"/>
      <c r="AM100" s="208"/>
      <c r="AN100" s="208"/>
      <c r="AO100" s="208"/>
      <c r="AP100" s="208"/>
      <c r="AQ100" s="208"/>
      <c r="AR100" s="208"/>
      <c r="AS100" s="208"/>
      <c r="AT100" s="208"/>
      <c r="AU100" s="208"/>
      <c r="AV100" s="208"/>
      <c r="AW100" s="208"/>
      <c r="AX100" s="208"/>
      <c r="AY100" s="208"/>
      <c r="AZ100" s="208"/>
      <c r="BA100" s="19"/>
      <c r="BB100" s="23"/>
      <c r="BD100" s="24" t="s">
        <v>71</v>
      </c>
      <c r="BE100" s="37" t="e">
        <f>IF(K98&gt;10000,"NA",INDEX('Sizing Factors'!$H:$H,MATCH(C96&amp;K100&amp;K102&amp;$BD$100,'Sizing Factors'!$L:$L,0)))</f>
        <v>#N/A</v>
      </c>
      <c r="BF100" s="37" t="e">
        <f>INDEX('Sizing Factors'!$I:$I,MATCH(C96&amp;K100&amp;K102&amp;$BD$100,'Sizing Factors'!$L:$L,0))</f>
        <v>#N/A</v>
      </c>
      <c r="BG100" s="37" t="e">
        <f>IF(BF100=0,BE100*100&amp;"%",BF100&amp;" ] ÷ "&amp;BE100)</f>
        <v>#N/A</v>
      </c>
      <c r="BH100" s="38" t="str">
        <f>IF(PeakCheck,IF(Z98&gt;=12.5,($Z$98-$BF$100)/$BE$100,NA()),"")</f>
        <v/>
      </c>
      <c r="BI100" s="24" t="str">
        <f>IF(K98&gt;10000,"Not applicable for contributing area &gt; 10,000 sf","")</f>
        <v/>
      </c>
      <c r="BJ100" s="37" t="str">
        <f>IF(PeakCheck,MAX(13,ROUNDUP(K98*BE100+BF100,0)),"")</f>
        <v/>
      </c>
      <c r="BK100" s="24"/>
      <c r="BL100" s="24"/>
      <c r="BM100" s="24"/>
      <c r="BN100" s="24"/>
      <c r="BO100" s="24"/>
      <c r="BX100" s="24"/>
      <c r="BY100" s="24"/>
      <c r="BZ100" s="24"/>
      <c r="CA100" s="24"/>
      <c r="CB100" s="24"/>
      <c r="CC100" s="24"/>
      <c r="CD100" s="24"/>
      <c r="CE100" s="24"/>
    </row>
    <row r="101" spans="1:83" ht="3.75" customHeight="1" x14ac:dyDescent="0.2">
      <c r="A101" s="18"/>
      <c r="B101" s="20"/>
      <c r="C101" s="20"/>
      <c r="D101" s="76"/>
      <c r="E101" s="76"/>
      <c r="F101" s="19"/>
      <c r="G101" s="19"/>
      <c r="H101" s="19"/>
      <c r="I101" s="19"/>
      <c r="J101" s="19"/>
      <c r="K101" s="19"/>
      <c r="L101" s="19"/>
      <c r="M101" s="19"/>
      <c r="N101" s="19"/>
      <c r="O101" s="19"/>
      <c r="P101" s="19"/>
      <c r="Q101" s="166"/>
      <c r="R101" s="166"/>
      <c r="S101" s="166"/>
      <c r="T101" s="166"/>
      <c r="U101" s="166"/>
      <c r="V101" s="166"/>
      <c r="W101" s="166"/>
      <c r="X101" s="166"/>
      <c r="Y101" s="166"/>
      <c r="Z101" s="166"/>
      <c r="AA101" s="166"/>
      <c r="AB101" s="166"/>
      <c r="AC101" s="166"/>
      <c r="AD101" s="166"/>
      <c r="AE101" s="166"/>
      <c r="AF101" s="166"/>
      <c r="AG101" s="166"/>
      <c r="AH101" s="19"/>
      <c r="AI101" s="19"/>
      <c r="AJ101" s="19"/>
      <c r="AK101" s="19"/>
      <c r="AL101" s="19"/>
      <c r="AM101" s="19"/>
      <c r="AN101" s="19"/>
      <c r="AO101" s="19"/>
      <c r="AP101" s="19"/>
      <c r="AQ101" s="19"/>
      <c r="AR101" s="19"/>
      <c r="AS101" s="19"/>
      <c r="AT101" s="19"/>
      <c r="AU101" s="19"/>
      <c r="AV101" s="19"/>
      <c r="AW101" s="19"/>
      <c r="AX101" s="19"/>
      <c r="AY101" s="19"/>
      <c r="AZ101" s="19"/>
      <c r="BA101" s="19"/>
      <c r="BB101" s="23"/>
      <c r="BD101" s="24"/>
      <c r="BE101" s="37"/>
      <c r="BF101" s="37"/>
      <c r="BG101" s="37"/>
      <c r="BH101" s="38"/>
      <c r="BI101" s="24"/>
      <c r="BK101" s="24"/>
      <c r="BL101" s="24"/>
      <c r="BM101" s="24"/>
      <c r="BN101" s="24"/>
      <c r="BO101" s="24"/>
      <c r="BX101" s="24"/>
      <c r="BY101" s="24"/>
      <c r="BZ101" s="24"/>
      <c r="CA101" s="24"/>
      <c r="CB101" s="24"/>
      <c r="CC101" s="24"/>
      <c r="CD101" s="24"/>
      <c r="CE101" s="24"/>
    </row>
    <row r="102" spans="1:83" ht="12.75" x14ac:dyDescent="0.2">
      <c r="A102" s="18"/>
      <c r="B102" s="20"/>
      <c r="C102" s="20"/>
      <c r="D102" s="76" t="s">
        <v>138</v>
      </c>
      <c r="E102" s="76"/>
      <c r="F102" s="19"/>
      <c r="G102" s="19"/>
      <c r="H102" s="19"/>
      <c r="I102" s="19"/>
      <c r="J102" s="19"/>
      <c r="K102" s="174"/>
      <c r="L102" s="174"/>
      <c r="M102" s="174"/>
      <c r="N102" s="174"/>
      <c r="O102" s="19" t="s">
        <v>45</v>
      </c>
      <c r="P102" s="19"/>
      <c r="Q102" s="166"/>
      <c r="R102" s="166"/>
      <c r="S102" s="166"/>
      <c r="T102" s="166"/>
      <c r="U102" s="166"/>
      <c r="V102" s="166"/>
      <c r="W102" s="166"/>
      <c r="X102" s="166"/>
      <c r="Y102" s="166"/>
      <c r="Z102" s="166"/>
      <c r="AA102" s="166"/>
      <c r="AB102" s="166"/>
      <c r="AC102" s="166"/>
      <c r="AD102" s="166"/>
      <c r="AE102" s="166"/>
      <c r="AF102" s="166"/>
      <c r="AG102" s="166"/>
      <c r="AH102" s="19"/>
      <c r="AI102" s="19"/>
      <c r="AJ102" s="19"/>
      <c r="AK102" s="19"/>
      <c r="AL102" s="19"/>
      <c r="AM102" s="19"/>
      <c r="AN102" s="19"/>
      <c r="AO102" s="19"/>
      <c r="AP102" s="19"/>
      <c r="AQ102" s="19"/>
      <c r="AR102" s="19"/>
      <c r="AS102" s="19"/>
      <c r="AT102" s="19"/>
      <c r="AU102" s="19"/>
      <c r="AV102" s="19"/>
      <c r="AW102" s="19"/>
      <c r="AX102" s="19"/>
      <c r="AY102" s="19"/>
      <c r="AZ102" s="19"/>
      <c r="BA102" s="19"/>
      <c r="BB102" s="23"/>
      <c r="BD102" s="24"/>
      <c r="BE102" s="37"/>
      <c r="BF102" s="37"/>
      <c r="BG102" s="37"/>
      <c r="BH102" s="38"/>
      <c r="BI102" s="24"/>
      <c r="BK102" s="24"/>
      <c r="BL102" s="24"/>
      <c r="BM102" s="24"/>
      <c r="BN102" s="24"/>
      <c r="BO102" s="24"/>
      <c r="BX102" s="24"/>
      <c r="BY102" s="24"/>
      <c r="BZ102" s="24"/>
      <c r="CA102" s="24"/>
      <c r="CB102" s="24"/>
      <c r="CC102" s="24"/>
      <c r="CD102" s="24"/>
      <c r="CE102" s="24"/>
    </row>
    <row r="103" spans="1:83" ht="3.75" customHeight="1" x14ac:dyDescent="0.2">
      <c r="A103" s="6"/>
      <c r="B103" s="14"/>
      <c r="C103" s="14"/>
      <c r="D103" s="73"/>
      <c r="E103" s="73"/>
      <c r="F103" s="7"/>
      <c r="G103" s="7"/>
      <c r="H103" s="7"/>
      <c r="I103" s="7"/>
      <c r="J103" s="7"/>
      <c r="K103" s="7"/>
      <c r="L103" s="7"/>
      <c r="M103" s="7"/>
      <c r="N103" s="7"/>
      <c r="O103" s="7"/>
      <c r="P103" s="7"/>
      <c r="Q103" s="9"/>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8"/>
      <c r="BD103" s="24"/>
      <c r="BE103" s="24"/>
      <c r="BF103" s="24"/>
      <c r="BG103" s="24"/>
      <c r="BH103" s="24"/>
      <c r="BI103" s="24"/>
      <c r="BK103" s="24"/>
      <c r="BL103" s="24"/>
      <c r="BM103" s="24"/>
      <c r="BN103" s="24"/>
      <c r="BO103" s="24"/>
      <c r="BX103" s="24"/>
      <c r="BY103" s="24"/>
      <c r="BZ103" s="24"/>
      <c r="CA103" s="24"/>
      <c r="CB103" s="24"/>
      <c r="CC103" s="24"/>
      <c r="CD103" s="24"/>
      <c r="CE103" s="24"/>
    </row>
    <row r="104" spans="1:83" s="24" customFormat="1" ht="14.25" x14ac:dyDescent="0.2">
      <c r="A104" s="6"/>
      <c r="B104" s="14"/>
      <c r="C104" s="14" t="s">
        <v>250</v>
      </c>
      <c r="D104" s="73"/>
      <c r="E104" s="73"/>
      <c r="F104" s="7"/>
      <c r="G104" s="7"/>
      <c r="H104" s="7"/>
      <c r="I104" s="7"/>
      <c r="J104" s="7"/>
      <c r="K104" s="7"/>
      <c r="L104" s="7"/>
      <c r="M104" s="7"/>
      <c r="N104" s="7"/>
      <c r="O104" s="7"/>
      <c r="P104" s="7"/>
      <c r="Q104" s="9"/>
      <c r="R104" s="7"/>
      <c r="S104" s="7"/>
      <c r="T104" s="7"/>
      <c r="U104" s="7"/>
      <c r="V104" s="7"/>
      <c r="W104" s="7"/>
      <c r="X104" s="7"/>
      <c r="Y104" s="7"/>
      <c r="Z104" s="7"/>
      <c r="AA104" s="7"/>
      <c r="AB104" s="7"/>
      <c r="AC104" s="7"/>
      <c r="AD104" s="7"/>
      <c r="AE104" s="7"/>
      <c r="AF104" s="7"/>
      <c r="AG104" s="7"/>
      <c r="AH104" s="176" t="str">
        <f>IF(Standard="","Select performance standard",IF(K106="","Enter contributing area",IF(K110="","Select ponding depth",IF(K112="","Select infiltration rate",
IFERROR(_xlfn.XLOOKUP(MIN(BH106,BH108,BH110),BH106:BH110,BG106:BG110),
IF(PeakCheck,BI110,IF(PastureCheck,BI108,IF(WQCheck,BI106,""))))))))</f>
        <v>Select performance standard</v>
      </c>
      <c r="AI104" s="176"/>
      <c r="AJ104" s="176"/>
      <c r="AK104" s="176"/>
      <c r="AL104" s="176"/>
      <c r="AM104" s="176"/>
      <c r="AN104" s="176"/>
      <c r="AO104" s="176"/>
      <c r="AP104" s="176"/>
      <c r="AQ104" s="176"/>
      <c r="AR104" s="176"/>
      <c r="AS104" s="7"/>
      <c r="AT104" s="7"/>
      <c r="AU104" s="7"/>
      <c r="AV104" s="7"/>
      <c r="AW104" s="7"/>
      <c r="AX104" s="7"/>
      <c r="AY104" s="7"/>
      <c r="AZ104" s="7"/>
      <c r="BA104" s="7"/>
      <c r="BB104" s="8"/>
      <c r="BD104" s="36" t="str">
        <f>C104</f>
        <v>Permeable Pavement Facility (PPF)3</v>
      </c>
      <c r="BJ104" s="37"/>
      <c r="BP104" s="2"/>
      <c r="BQ104" s="2"/>
      <c r="BR104" s="2"/>
      <c r="BS104" s="2"/>
      <c r="BT104" s="2"/>
      <c r="BU104" s="2"/>
      <c r="BV104" s="2"/>
      <c r="BW104" s="2"/>
    </row>
    <row r="105" spans="1:83" ht="3.75" customHeight="1" x14ac:dyDescent="0.2">
      <c r="A105" s="6"/>
      <c r="B105" s="14"/>
      <c r="C105" s="14"/>
      <c r="D105" s="73"/>
      <c r="E105" s="73"/>
      <c r="F105" s="7"/>
      <c r="G105" s="7"/>
      <c r="H105" s="7"/>
      <c r="I105" s="7"/>
      <c r="J105" s="7"/>
      <c r="K105" s="7"/>
      <c r="L105" s="7"/>
      <c r="M105" s="7"/>
      <c r="N105" s="7"/>
      <c r="O105" s="7"/>
      <c r="P105" s="7"/>
      <c r="Q105" s="9"/>
      <c r="R105" s="7"/>
      <c r="S105" s="7"/>
      <c r="T105" s="7"/>
      <c r="U105" s="7"/>
      <c r="V105" s="7"/>
      <c r="W105" s="7"/>
      <c r="X105" s="7"/>
      <c r="Y105" s="7"/>
      <c r="Z105" s="7"/>
      <c r="AA105" s="7"/>
      <c r="AB105" s="7"/>
      <c r="AC105" s="7"/>
      <c r="AD105" s="7"/>
      <c r="AE105" s="7"/>
      <c r="AF105" s="7"/>
      <c r="AG105" s="7"/>
      <c r="AH105" s="176"/>
      <c r="AI105" s="176"/>
      <c r="AJ105" s="176"/>
      <c r="AK105" s="176"/>
      <c r="AL105" s="176"/>
      <c r="AM105" s="176"/>
      <c r="AN105" s="176"/>
      <c r="AO105" s="176"/>
      <c r="AP105" s="176"/>
      <c r="AQ105" s="176"/>
      <c r="AR105" s="176"/>
      <c r="AS105" s="7"/>
      <c r="AT105" s="7"/>
      <c r="AU105" s="7"/>
      <c r="AV105" s="7"/>
      <c r="AW105" s="7"/>
      <c r="AX105" s="7"/>
      <c r="AY105" s="7"/>
      <c r="AZ105" s="7"/>
      <c r="BA105" s="7"/>
      <c r="BB105" s="8"/>
      <c r="BD105" s="24"/>
      <c r="BE105" s="24"/>
      <c r="BF105" s="24"/>
      <c r="BG105" s="24"/>
      <c r="BH105" s="24"/>
      <c r="BI105" s="24"/>
      <c r="BK105" s="24"/>
      <c r="BL105" s="24"/>
      <c r="BM105" s="24"/>
      <c r="BN105" s="24"/>
      <c r="BO105" s="24"/>
      <c r="BX105" s="24"/>
      <c r="BY105" s="24"/>
      <c r="BZ105" s="24"/>
      <c r="CA105" s="24"/>
      <c r="CB105" s="24"/>
      <c r="CC105" s="24"/>
      <c r="CD105" s="24"/>
      <c r="CE105" s="24"/>
    </row>
    <row r="106" spans="1:83" s="24" customFormat="1" x14ac:dyDescent="0.2">
      <c r="A106" s="18"/>
      <c r="B106" s="20"/>
      <c r="C106" s="20"/>
      <c r="D106" s="76" t="s">
        <v>19</v>
      </c>
      <c r="E106" s="76"/>
      <c r="F106" s="19"/>
      <c r="G106" s="19"/>
      <c r="H106" s="19"/>
      <c r="I106" s="19"/>
      <c r="J106" s="19"/>
      <c r="K106" s="173"/>
      <c r="L106" s="173"/>
      <c r="M106" s="173"/>
      <c r="N106" s="173"/>
      <c r="O106" s="19" t="s">
        <v>5</v>
      </c>
      <c r="P106" s="19"/>
      <c r="Q106" s="1" t="s">
        <v>252</v>
      </c>
      <c r="R106" s="19"/>
      <c r="S106" s="19"/>
      <c r="T106" s="19"/>
      <c r="U106" s="19"/>
      <c r="V106" s="19"/>
      <c r="W106" s="19"/>
      <c r="X106" s="19"/>
      <c r="Y106" s="21" t="str">
        <f>IFERROR(IF(AND(AH104=BG108,BF108&gt;0),"[ ",""),"")</f>
        <v/>
      </c>
      <c r="Z106" s="173"/>
      <c r="AA106" s="173"/>
      <c r="AB106" s="173"/>
      <c r="AC106" s="173"/>
      <c r="AD106" s="19" t="s">
        <v>5</v>
      </c>
      <c r="AE106" s="19"/>
      <c r="AF106" s="22" t="str">
        <f>IFERROR(IF(AH104=BG106,IF(BF106=0,"÷",IF(BF106&gt;0,"-","+")),
IF(AH104=BG108,IF(BF108=0,"÷",IF(BF108&gt;0,"-","+")),
IF(AH104=BG110,IF(BF110=0,"÷",IF(BF110&gt;0,"-","+")),":"))),":")</f>
        <v>:</v>
      </c>
      <c r="AG106" s="19"/>
      <c r="AH106" s="177"/>
      <c r="AI106" s="177"/>
      <c r="AJ106" s="177"/>
      <c r="AK106" s="177"/>
      <c r="AL106" s="177"/>
      <c r="AM106" s="177"/>
      <c r="AN106" s="177"/>
      <c r="AO106" s="177"/>
      <c r="AP106" s="177"/>
      <c r="AQ106" s="177"/>
      <c r="AR106" s="177"/>
      <c r="AS106" s="19"/>
      <c r="AT106" s="22" t="s">
        <v>108</v>
      </c>
      <c r="AU106" s="19"/>
      <c r="AV106" s="183" t="str">
        <f>IF(OR(Standard="",K106=""),"",IFERROR(MIN(IF(Standard=WQ,K108,K106),BH106,BH108,BH110),""))</f>
        <v/>
      </c>
      <c r="AW106" s="183"/>
      <c r="AX106" s="183"/>
      <c r="AY106" s="183"/>
      <c r="AZ106" s="183"/>
      <c r="BA106" s="19" t="s">
        <v>5</v>
      </c>
      <c r="BB106" s="23"/>
      <c r="BD106" s="24" t="s">
        <v>72</v>
      </c>
      <c r="BE106" s="37" t="e">
        <f>IF(K108&gt;10000,"NA",INDEX('Sizing Factors'!$H:$H,MATCH(C104&amp;K110&amp;K112&amp;$BD$106,'Sizing Factors'!$L:$L,0)))</f>
        <v>#N/A</v>
      </c>
      <c r="BF106" s="37" t="e">
        <f>INDEX('Sizing Factors'!$I:$I,MATCH(C104&amp;K110&amp;K112&amp;$BD$106,'Sizing Factors'!$L:$L,0))</f>
        <v>#N/A</v>
      </c>
      <c r="BG106" s="37" t="e">
        <f>IF(BF106=0,BE106*100&amp;"%",BF106&amp;" ] ÷ "&amp;BE106)</f>
        <v>#N/A</v>
      </c>
      <c r="BH106" s="38" t="str">
        <f>IF(WQCheck,MIN(($Z$106-$BF$106)/$BE$106,Z106*5),"")</f>
        <v/>
      </c>
      <c r="BI106" s="41" t="e">
        <f>IF(K108&gt;10000,"Not applicable for contributing area &gt; 10,000 sf",INDEX('Sizing Factors'!$J:$J,MATCH(C104&amp;K110&amp;K112&amp;$BD$106,'Sizing Factors'!$L:$L,0)))</f>
        <v>#N/A</v>
      </c>
      <c r="BJ106" s="37" t="str">
        <f>IF(WQCheck,ROUNDUP(K108*BE106+BF106,0),"")</f>
        <v/>
      </c>
      <c r="BP106" s="2"/>
      <c r="BQ106" s="2"/>
      <c r="BR106" s="2"/>
      <c r="BS106" s="2"/>
      <c r="BT106" s="2"/>
      <c r="BU106" s="2"/>
      <c r="BV106" s="2"/>
      <c r="BW106" s="2"/>
    </row>
    <row r="107" spans="1:83" ht="3.75" customHeight="1" x14ac:dyDescent="0.2">
      <c r="A107" s="6"/>
      <c r="B107" s="14"/>
      <c r="C107" s="14"/>
      <c r="D107" s="73"/>
      <c r="E107" s="73"/>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8"/>
      <c r="BD107" s="24"/>
      <c r="BE107" s="24"/>
      <c r="BF107" s="24"/>
      <c r="BG107" s="24"/>
      <c r="BH107" s="24"/>
      <c r="BI107" s="24"/>
      <c r="BK107" s="24"/>
      <c r="BL107" s="24"/>
      <c r="BM107" s="24"/>
      <c r="BN107" s="24"/>
      <c r="BO107" s="24"/>
      <c r="BX107" s="24"/>
      <c r="BY107" s="24"/>
      <c r="BZ107" s="24"/>
      <c r="CA107" s="24"/>
      <c r="CB107" s="24"/>
      <c r="CC107" s="24"/>
      <c r="CD107" s="24"/>
      <c r="CE107" s="24"/>
    </row>
    <row r="108" spans="1:83" ht="12" customHeight="1" x14ac:dyDescent="0.2">
      <c r="A108" s="18"/>
      <c r="B108" s="20"/>
      <c r="C108" s="20"/>
      <c r="D108" s="172" t="s">
        <v>224</v>
      </c>
      <c r="E108" s="172"/>
      <c r="F108" s="172"/>
      <c r="G108" s="172"/>
      <c r="H108" s="172"/>
      <c r="I108" s="172"/>
      <c r="J108" s="172"/>
      <c r="K108" s="173"/>
      <c r="L108" s="173"/>
      <c r="M108" s="173"/>
      <c r="N108" s="173"/>
      <c r="O108" s="19" t="s">
        <v>5</v>
      </c>
      <c r="P108" s="19"/>
      <c r="Q108" s="171" t="str">
        <f>IFERROR(IF(AND(K106&gt;Z106*5,BH110=Z106*5,K106&lt;&gt;"",Z106&lt;&gt;"",K110&lt;&gt;"",K112&lt;&gt;"",Standard&lt;&gt;""),"The maximum contributing area is 5 times the permeable pavement area",IF(K106="","",IFERROR(
IF(AND(Z106&lt;&gt;MAX(BJ108,BJ110), MAX(BJ108,BJ110)&gt;0),"PPF area to meet Flow Control Standard(s) is "&amp;MAX(BJ108,BJ110)&amp;" sf" &amp;CHAR(10),"")&amp;
IF(AND(Z106&lt;&gt;BJ106,BJ106&lt;&gt;""),"PPF area to meet WQ Treatment Standard is "&amp;BJ106&amp;" sf",""),""))),"")</f>
        <v/>
      </c>
      <c r="R108" s="171"/>
      <c r="S108" s="171"/>
      <c r="T108" s="171"/>
      <c r="U108" s="171"/>
      <c r="V108" s="171"/>
      <c r="W108" s="171"/>
      <c r="X108" s="171"/>
      <c r="Y108" s="171"/>
      <c r="Z108" s="171"/>
      <c r="AA108" s="171"/>
      <c r="AB108" s="171"/>
      <c r="AC108" s="171"/>
      <c r="AD108" s="171"/>
      <c r="AE108" s="171"/>
      <c r="AF108" s="171"/>
      <c r="AG108" s="171"/>
      <c r="AH108" s="171"/>
      <c r="AI108" s="171"/>
      <c r="AJ108" s="171"/>
      <c r="AK108" s="171"/>
      <c r="AL108" s="19"/>
      <c r="AM108" s="19"/>
      <c r="AN108" s="19"/>
      <c r="AO108" s="19"/>
      <c r="AP108" s="19"/>
      <c r="AQ108" s="19"/>
      <c r="AR108" s="80" t="str">
        <f>IF(WQCheck,"PGHS Area Managed","")</f>
        <v/>
      </c>
      <c r="AS108" s="165"/>
      <c r="AT108" s="81" t="str">
        <f>IF(WQCheck,"=","")</f>
        <v/>
      </c>
      <c r="AU108" s="165"/>
      <c r="AV108" s="207" t="str">
        <f>IFERROR(IF(AND(WQCheck,K108&gt;0),MIN(BH106,K108),""),"")</f>
        <v/>
      </c>
      <c r="AW108" s="207"/>
      <c r="AX108" s="207"/>
      <c r="AY108" s="207"/>
      <c r="AZ108" s="207"/>
      <c r="BA108" s="19" t="str">
        <f>IF(WQCheck,"sf","")</f>
        <v/>
      </c>
      <c r="BB108" s="23"/>
      <c r="BD108" s="24" t="s">
        <v>7</v>
      </c>
      <c r="BE108" s="37" t="e">
        <f>INDEX('Sizing Factors'!$H:$H,MATCH(C104&amp;K110&amp;K112&amp;IF(K106&lt;=2000,"02000",IF(K106&lt;=10000,"200010000","x"))&amp;$BD$108,'Sizing Factors'!$L:$L,0))</f>
        <v>#N/A</v>
      </c>
      <c r="BF108" s="37" t="e">
        <f>INDEX('Sizing Factors'!$I:$I,MATCH(C104&amp;K110&amp;K112&amp;IF(K106&lt;=2000,"02000",IF(K106&lt;=10000,"200010000","x"))&amp;$BD$108,'Sizing Factors'!$L:$L,0))</f>
        <v>#N/A</v>
      </c>
      <c r="BG108" s="37" t="e">
        <f>IF(BF108=0,BE108*100&amp;"%",BF108&amp;" ] ÷ "&amp;BE108)</f>
        <v>#N/A</v>
      </c>
      <c r="BH108" s="38" t="str">
        <f>IF(PastureCheck,MIN(MAX(($Z$106-$BF$108)/$BE$108,0),Z106*5),"")</f>
        <v/>
      </c>
      <c r="BI108" s="41" t="e">
        <f>IF(K106&gt;10000,"Not applicable for contributing area &gt; 10,000 sf",INDEX('Sizing Factors'!$J:$J,MATCH(C104&amp;K110&amp;K112&amp;IF(K106&lt;=2000,"02000",IF(K106&lt;=10000,"200010000","x"))&amp;$BD$108,'Sizing Factors'!$L:$L,0)))</f>
        <v>#N/A</v>
      </c>
      <c r="BJ108" s="37" t="str">
        <f>IF(PastureCheck,ROUNDUP(K106*BE108+BF108,0),"")</f>
        <v/>
      </c>
      <c r="BK108" s="24"/>
      <c r="BL108" s="24"/>
      <c r="BM108" s="24"/>
      <c r="BN108" s="24"/>
      <c r="BO108" s="24"/>
      <c r="BX108" s="24"/>
      <c r="BY108" s="24"/>
      <c r="BZ108" s="24"/>
      <c r="CA108" s="24"/>
      <c r="CB108" s="24"/>
      <c r="CC108" s="24"/>
      <c r="CD108" s="24"/>
      <c r="CE108" s="24"/>
    </row>
    <row r="109" spans="1:83" ht="3.75" customHeight="1" x14ac:dyDescent="0.2">
      <c r="A109" s="6"/>
      <c r="B109" s="14"/>
      <c r="C109" s="14"/>
      <c r="D109" s="73"/>
      <c r="E109" s="73"/>
      <c r="F109" s="7"/>
      <c r="G109" s="7"/>
      <c r="H109" s="7"/>
      <c r="I109" s="7"/>
      <c r="J109" s="7"/>
      <c r="K109" s="7"/>
      <c r="L109" s="7"/>
      <c r="M109" s="7"/>
      <c r="N109" s="7"/>
      <c r="O109" s="7"/>
      <c r="P109" s="7"/>
      <c r="Q109" s="171"/>
      <c r="R109" s="171"/>
      <c r="S109" s="171"/>
      <c r="T109" s="171"/>
      <c r="U109" s="171"/>
      <c r="V109" s="171"/>
      <c r="W109" s="171"/>
      <c r="X109" s="171"/>
      <c r="Y109" s="171"/>
      <c r="Z109" s="171"/>
      <c r="AA109" s="171"/>
      <c r="AB109" s="171"/>
      <c r="AC109" s="171"/>
      <c r="AD109" s="171"/>
      <c r="AE109" s="171"/>
      <c r="AF109" s="171"/>
      <c r="AG109" s="171"/>
      <c r="AH109" s="171"/>
      <c r="AI109" s="171"/>
      <c r="AJ109" s="171"/>
      <c r="AK109" s="171"/>
      <c r="AL109" s="7"/>
      <c r="AM109" s="7"/>
      <c r="AN109" s="7"/>
      <c r="AO109" s="7"/>
      <c r="AP109" s="7"/>
      <c r="AQ109" s="7"/>
      <c r="AR109" s="7"/>
      <c r="AS109" s="7"/>
      <c r="AT109" s="7"/>
      <c r="AU109" s="7"/>
      <c r="AV109" s="7"/>
      <c r="AW109" s="7"/>
      <c r="AX109" s="7"/>
      <c r="AY109" s="7"/>
      <c r="AZ109" s="7"/>
      <c r="BA109" s="7"/>
      <c r="BB109" s="8"/>
      <c r="BD109" s="24"/>
      <c r="BE109" s="24"/>
      <c r="BF109" s="24"/>
      <c r="BG109" s="24"/>
      <c r="BH109" s="24"/>
      <c r="BI109" s="24"/>
      <c r="BK109" s="24"/>
      <c r="BL109" s="24"/>
      <c r="BM109" s="24"/>
      <c r="BN109" s="24"/>
      <c r="BO109" s="24"/>
      <c r="BX109" s="24"/>
      <c r="BY109" s="24"/>
      <c r="BZ109" s="24"/>
      <c r="CA109" s="24"/>
      <c r="CB109" s="24"/>
      <c r="CC109" s="24"/>
      <c r="CD109" s="24"/>
      <c r="CE109" s="24"/>
    </row>
    <row r="110" spans="1:83" x14ac:dyDescent="0.2">
      <c r="A110" s="18"/>
      <c r="B110" s="20"/>
      <c r="C110" s="20"/>
      <c r="D110" s="76" t="s">
        <v>20</v>
      </c>
      <c r="E110" s="76"/>
      <c r="F110" s="19"/>
      <c r="G110" s="19"/>
      <c r="H110" s="19"/>
      <c r="I110" s="19"/>
      <c r="J110" s="19"/>
      <c r="K110" s="174"/>
      <c r="L110" s="174"/>
      <c r="M110" s="174"/>
      <c r="N110" s="174"/>
      <c r="O110" s="19" t="s">
        <v>44</v>
      </c>
      <c r="P110" s="7"/>
      <c r="Q110" s="171"/>
      <c r="R110" s="171"/>
      <c r="S110" s="171"/>
      <c r="T110" s="171"/>
      <c r="U110" s="171"/>
      <c r="V110" s="171"/>
      <c r="W110" s="171"/>
      <c r="X110" s="171"/>
      <c r="Y110" s="171"/>
      <c r="Z110" s="171"/>
      <c r="AA110" s="171"/>
      <c r="AB110" s="171"/>
      <c r="AC110" s="171"/>
      <c r="AD110" s="171"/>
      <c r="AE110" s="171"/>
      <c r="AF110" s="171"/>
      <c r="AG110" s="171"/>
      <c r="AH110" s="171"/>
      <c r="AI110" s="171"/>
      <c r="AJ110" s="171"/>
      <c r="AK110" s="171"/>
      <c r="AL110" s="19"/>
      <c r="AM110" s="19"/>
      <c r="AN110" s="19"/>
      <c r="AO110" s="19"/>
      <c r="AP110" s="19"/>
      <c r="AQ110" s="19"/>
      <c r="AR110" s="21"/>
      <c r="AS110" s="19"/>
      <c r="AT110" s="22"/>
      <c r="AU110" s="19"/>
      <c r="AV110" s="197"/>
      <c r="AW110" s="197"/>
      <c r="AX110" s="197"/>
      <c r="AY110" s="197"/>
      <c r="AZ110" s="197"/>
      <c r="BA110" s="19"/>
      <c r="BB110" s="23"/>
      <c r="BD110" s="24" t="s">
        <v>71</v>
      </c>
      <c r="BE110" s="37" t="e">
        <f>IF(K106&gt;10000,"NA",INDEX('Sizing Factors'!$H:$H,MATCH(C104&amp;K110&amp;K112&amp;$BD$110,'Sizing Factors'!$L:$L,0)))</f>
        <v>#N/A</v>
      </c>
      <c r="BF110" s="37" t="e">
        <f>INDEX('Sizing Factors'!$I:$I,MATCH(C104&amp;K110&amp;K112&amp;$BD$110,'Sizing Factors'!$L:$L,0))</f>
        <v>#N/A</v>
      </c>
      <c r="BG110" s="37" t="e">
        <f>IF(BF110=0,BE110*100&amp;"%",BF110&amp;" ] ÷ "&amp;BE110)</f>
        <v>#N/A</v>
      </c>
      <c r="BH110" s="38" t="str">
        <f>IF(PeakCheck,MIN(($Z$106-$BF$110)/$BE$110,Z106*5),"")</f>
        <v/>
      </c>
      <c r="BI110" s="41" t="e">
        <f>IF(K106&gt;10000,"Not applicable for contributing area &gt; 10,000 sf",INDEX('Sizing Factors'!$J:$J,MATCH(C104&amp;K110&amp;K112&amp;$BD$110,'Sizing Factors'!$L:$L,0)))</f>
        <v>#N/A</v>
      </c>
      <c r="BJ110" s="37" t="str">
        <f>IF(PeakCheck,ROUNDUP(K106*BE110+BF110,0),"")</f>
        <v/>
      </c>
      <c r="BK110" s="24"/>
      <c r="BL110" s="24"/>
      <c r="BM110" s="24"/>
      <c r="BN110" s="24"/>
      <c r="BO110" s="24"/>
      <c r="BX110" s="24"/>
      <c r="BY110" s="24"/>
      <c r="BZ110" s="24"/>
      <c r="CA110" s="24"/>
      <c r="CB110" s="24"/>
      <c r="CC110" s="24"/>
      <c r="CD110" s="24"/>
      <c r="CE110" s="24"/>
    </row>
    <row r="111" spans="1:83" ht="3.75" customHeight="1" x14ac:dyDescent="0.2">
      <c r="A111" s="18"/>
      <c r="B111" s="20"/>
      <c r="C111" s="20"/>
      <c r="D111" s="76"/>
      <c r="E111" s="76"/>
      <c r="F111" s="19"/>
      <c r="G111" s="19"/>
      <c r="H111" s="19"/>
      <c r="I111" s="19"/>
      <c r="J111" s="19"/>
      <c r="K111" s="19"/>
      <c r="L111" s="19"/>
      <c r="M111" s="19"/>
      <c r="N111" s="19"/>
      <c r="O111" s="19"/>
      <c r="P111" s="19"/>
      <c r="Q111" s="171"/>
      <c r="R111" s="171"/>
      <c r="S111" s="171"/>
      <c r="T111" s="171"/>
      <c r="U111" s="171"/>
      <c r="V111" s="171"/>
      <c r="W111" s="171"/>
      <c r="X111" s="171"/>
      <c r="Y111" s="171"/>
      <c r="Z111" s="171"/>
      <c r="AA111" s="171"/>
      <c r="AB111" s="171"/>
      <c r="AC111" s="171"/>
      <c r="AD111" s="171"/>
      <c r="AE111" s="171"/>
      <c r="AF111" s="171"/>
      <c r="AG111" s="171"/>
      <c r="AH111" s="171"/>
      <c r="AI111" s="171"/>
      <c r="AJ111" s="171"/>
      <c r="AK111" s="171"/>
      <c r="AL111" s="22"/>
      <c r="AM111" s="22"/>
      <c r="AN111" s="22"/>
      <c r="AO111" s="22"/>
      <c r="AP111" s="22"/>
      <c r="AQ111" s="22"/>
      <c r="AR111" s="22"/>
      <c r="AS111" s="19"/>
      <c r="AT111" s="22"/>
      <c r="AU111" s="19"/>
      <c r="AV111" s="168"/>
      <c r="AW111" s="168"/>
      <c r="AX111" s="168"/>
      <c r="AY111" s="168"/>
      <c r="AZ111" s="168"/>
      <c r="BA111" s="19"/>
      <c r="BB111" s="23"/>
      <c r="BD111" s="24"/>
      <c r="BE111" s="37"/>
      <c r="BF111" s="37"/>
      <c r="BG111" s="37"/>
      <c r="BH111" s="38"/>
      <c r="BI111" s="41"/>
      <c r="BK111" s="24"/>
      <c r="BL111" s="24"/>
      <c r="BM111" s="24"/>
      <c r="BN111" s="24"/>
      <c r="BO111" s="24"/>
      <c r="BX111" s="24"/>
      <c r="BY111" s="24"/>
      <c r="BZ111" s="24"/>
      <c r="CA111" s="24"/>
      <c r="CB111" s="24"/>
      <c r="CC111" s="24"/>
      <c r="CD111" s="24"/>
      <c r="CE111" s="24"/>
    </row>
    <row r="112" spans="1:83" ht="12.75" x14ac:dyDescent="0.2">
      <c r="A112" s="18"/>
      <c r="B112" s="20"/>
      <c r="C112" s="20"/>
      <c r="D112" s="76" t="s">
        <v>138</v>
      </c>
      <c r="E112" s="76"/>
      <c r="F112" s="19"/>
      <c r="G112" s="19"/>
      <c r="H112" s="19"/>
      <c r="I112" s="19"/>
      <c r="J112" s="19"/>
      <c r="K112" s="174"/>
      <c r="L112" s="174"/>
      <c r="M112" s="174"/>
      <c r="N112" s="174"/>
      <c r="O112" s="19" t="s">
        <v>45</v>
      </c>
      <c r="P112" s="19"/>
      <c r="Q112" s="171"/>
      <c r="R112" s="171"/>
      <c r="S112" s="171"/>
      <c r="T112" s="171"/>
      <c r="U112" s="171"/>
      <c r="V112" s="171"/>
      <c r="W112" s="171"/>
      <c r="X112" s="171"/>
      <c r="Y112" s="171"/>
      <c r="Z112" s="171"/>
      <c r="AA112" s="171"/>
      <c r="AB112" s="171"/>
      <c r="AC112" s="171"/>
      <c r="AD112" s="171"/>
      <c r="AE112" s="171"/>
      <c r="AF112" s="171"/>
      <c r="AG112" s="171"/>
      <c r="AH112" s="171"/>
      <c r="AI112" s="171"/>
      <c r="AJ112" s="171"/>
      <c r="AK112" s="171"/>
      <c r="AL112" s="22"/>
      <c r="AM112" s="22"/>
      <c r="AN112" s="22"/>
      <c r="AO112" s="22"/>
      <c r="AP112" s="22"/>
      <c r="AQ112" s="22"/>
      <c r="AR112" s="22"/>
      <c r="AS112" s="19"/>
      <c r="AT112" s="22"/>
      <c r="AU112" s="19"/>
      <c r="AV112" s="168"/>
      <c r="AW112" s="168"/>
      <c r="AX112" s="168"/>
      <c r="AY112" s="168"/>
      <c r="AZ112" s="168"/>
      <c r="BA112" s="19"/>
      <c r="BB112" s="23"/>
      <c r="BD112" s="24"/>
      <c r="BE112" s="37"/>
      <c r="BF112" s="37"/>
      <c r="BG112" s="37"/>
      <c r="BH112" s="38"/>
      <c r="BI112" s="41"/>
      <c r="BK112" s="24"/>
      <c r="BL112" s="24"/>
      <c r="BM112" s="24"/>
      <c r="BN112" s="24"/>
      <c r="BO112" s="24"/>
      <c r="BX112" s="24"/>
      <c r="BY112" s="24"/>
      <c r="BZ112" s="24"/>
      <c r="CA112" s="24"/>
      <c r="CB112" s="24"/>
      <c r="CC112" s="24"/>
      <c r="CD112" s="24"/>
      <c r="CE112" s="24"/>
    </row>
    <row r="113" spans="1:83" ht="3.75" customHeight="1" x14ac:dyDescent="0.2">
      <c r="A113" s="6"/>
      <c r="B113" s="14"/>
      <c r="C113" s="14"/>
      <c r="D113" s="73"/>
      <c r="E113" s="73"/>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8"/>
      <c r="BD113" s="24"/>
      <c r="BE113" s="24"/>
      <c r="BF113" s="24"/>
      <c r="BG113" s="24"/>
      <c r="BH113" s="24"/>
      <c r="BI113" s="24"/>
      <c r="BK113" s="24"/>
      <c r="BL113" s="24"/>
      <c r="BM113" s="24"/>
      <c r="BN113" s="24"/>
      <c r="BO113" s="24"/>
      <c r="BX113" s="24"/>
      <c r="BY113" s="24"/>
      <c r="BZ113" s="24"/>
      <c r="CA113" s="24"/>
      <c r="CB113" s="24"/>
      <c r="CC113" s="24"/>
      <c r="CD113" s="24"/>
      <c r="CE113" s="24"/>
    </row>
    <row r="114" spans="1:83" x14ac:dyDescent="0.2">
      <c r="A114" s="6"/>
      <c r="B114" s="13" t="s">
        <v>22</v>
      </c>
      <c r="C114" s="14"/>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8"/>
      <c r="BD114" s="24"/>
      <c r="BE114" s="24"/>
      <c r="BF114" s="24"/>
      <c r="BG114" s="24"/>
      <c r="BH114" s="24"/>
      <c r="BI114" s="24"/>
      <c r="BK114" s="24"/>
      <c r="BL114" s="24"/>
      <c r="BM114" s="24"/>
      <c r="BN114" s="24"/>
      <c r="BO114" s="24"/>
      <c r="BX114" s="24"/>
      <c r="BY114" s="24"/>
      <c r="BZ114" s="24"/>
      <c r="CA114" s="24"/>
      <c r="CB114" s="24"/>
      <c r="CC114" s="24"/>
      <c r="CD114" s="24"/>
      <c r="CE114" s="24"/>
    </row>
    <row r="115" spans="1:83" ht="3.75" customHeight="1" x14ac:dyDescent="0.2">
      <c r="A115" s="6"/>
      <c r="B115" s="14"/>
      <c r="C115" s="14"/>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8"/>
      <c r="BD115" s="24"/>
      <c r="BE115" s="24"/>
      <c r="BF115" s="24"/>
      <c r="BG115" s="24"/>
      <c r="BH115" s="24"/>
      <c r="BI115" s="24"/>
      <c r="BK115" s="24"/>
      <c r="BL115" s="24"/>
      <c r="BM115" s="24"/>
      <c r="BN115" s="24"/>
      <c r="BO115" s="24"/>
      <c r="BX115" s="24"/>
      <c r="BY115" s="24"/>
      <c r="BZ115" s="24"/>
      <c r="CA115" s="24"/>
      <c r="CB115" s="24"/>
      <c r="CC115" s="24"/>
      <c r="CD115" s="24"/>
      <c r="CE115" s="24"/>
    </row>
    <row r="116" spans="1:83" x14ac:dyDescent="0.2">
      <c r="A116" s="6"/>
      <c r="B116" s="14"/>
      <c r="C116" s="14" t="s">
        <v>23</v>
      </c>
      <c r="D116" s="7"/>
      <c r="E116" s="7"/>
      <c r="F116" s="7"/>
      <c r="G116" s="7"/>
      <c r="H116" s="7"/>
      <c r="I116" s="7"/>
      <c r="J116" s="7"/>
      <c r="K116" s="7"/>
      <c r="L116" s="7"/>
      <c r="M116" s="7"/>
      <c r="N116" s="7"/>
      <c r="O116" s="7"/>
      <c r="P116" s="7"/>
      <c r="Q116" s="19" t="str">
        <f>"Applicant must provide documentation of management" &amp; IF(WQCheck," (does not meet WQ Treatment Standard)","")</f>
        <v>Applicant must provide documentation of management</v>
      </c>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173"/>
      <c r="AW116" s="173"/>
      <c r="AX116" s="173"/>
      <c r="AY116" s="173"/>
      <c r="AZ116" s="173"/>
      <c r="BA116" s="19" t="s">
        <v>5</v>
      </c>
      <c r="BB116" s="8"/>
      <c r="BD116" s="24"/>
      <c r="BE116" s="24"/>
      <c r="BF116" s="24"/>
      <c r="BG116" s="24"/>
      <c r="BH116" s="24"/>
      <c r="BI116" s="24"/>
      <c r="BK116" s="24"/>
      <c r="BL116" s="24"/>
      <c r="BM116" s="24"/>
      <c r="BN116" s="24"/>
      <c r="BO116" s="24"/>
      <c r="BX116" s="24"/>
      <c r="BY116" s="24"/>
      <c r="BZ116" s="24"/>
      <c r="CA116" s="24"/>
      <c r="CB116" s="24"/>
      <c r="CC116" s="24"/>
      <c r="CD116" s="24"/>
      <c r="CE116" s="24"/>
    </row>
    <row r="117" spans="1:83" ht="3.75" customHeight="1" x14ac:dyDescent="0.2">
      <c r="A117" s="6"/>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8"/>
      <c r="BD117" s="24"/>
      <c r="BE117" s="24"/>
      <c r="BF117" s="24"/>
      <c r="BG117" s="24"/>
      <c r="BH117" s="24"/>
      <c r="BI117" s="24"/>
      <c r="BK117" s="24"/>
      <c r="BL117" s="24"/>
      <c r="BM117" s="24"/>
      <c r="BN117" s="24"/>
      <c r="BO117" s="24"/>
    </row>
    <row r="118" spans="1:83" s="36" customFormat="1" x14ac:dyDescent="0.2">
      <c r="A118" s="75" t="s">
        <v>136</v>
      </c>
      <c r="B118" s="61"/>
      <c r="C118" s="61"/>
      <c r="D118" s="61"/>
      <c r="E118" s="61"/>
      <c r="F118" s="61"/>
      <c r="G118" s="61"/>
      <c r="H118" s="61"/>
      <c r="I118" s="61"/>
      <c r="J118" s="61"/>
      <c r="K118" s="61"/>
      <c r="L118" s="61"/>
      <c r="M118" s="61"/>
      <c r="N118" s="61"/>
      <c r="O118" s="61"/>
      <c r="P118" s="61"/>
      <c r="Q118" s="61"/>
      <c r="R118" s="61"/>
      <c r="S118" s="61"/>
      <c r="T118" s="61"/>
      <c r="U118" s="61"/>
      <c r="V118" s="61"/>
      <c r="W118" s="61"/>
      <c r="X118" s="61" t="s">
        <v>13</v>
      </c>
      <c r="Y118" s="61"/>
      <c r="Z118" s="61"/>
      <c r="AA118" s="61"/>
      <c r="AB118" s="61"/>
      <c r="AC118" s="61"/>
      <c r="AD118" s="61"/>
      <c r="AE118" s="61"/>
      <c r="AF118" s="61"/>
      <c r="AG118" s="61"/>
      <c r="AH118" s="181" t="s">
        <v>18</v>
      </c>
      <c r="AI118" s="181"/>
      <c r="AJ118" s="181"/>
      <c r="AK118" s="181"/>
      <c r="AL118" s="181"/>
      <c r="AM118" s="181"/>
      <c r="AN118" s="181"/>
      <c r="AO118" s="181"/>
      <c r="AP118" s="181"/>
      <c r="AQ118" s="181"/>
      <c r="AR118" s="181"/>
      <c r="AS118" s="61"/>
      <c r="AT118" s="61"/>
      <c r="AU118" s="61"/>
      <c r="AV118" s="181" t="s">
        <v>14</v>
      </c>
      <c r="AW118" s="181"/>
      <c r="AX118" s="181"/>
      <c r="AY118" s="181"/>
      <c r="AZ118" s="181"/>
      <c r="BA118" s="181"/>
      <c r="BB118" s="62"/>
      <c r="BD118" s="47"/>
      <c r="BE118" s="47"/>
      <c r="BF118" s="47"/>
      <c r="BG118" s="47"/>
      <c r="BH118" s="47"/>
      <c r="BI118" s="47"/>
      <c r="BJ118" s="157"/>
      <c r="BK118" s="47"/>
      <c r="BL118" s="47"/>
      <c r="BM118" s="47"/>
      <c r="BN118" s="47"/>
      <c r="BO118" s="47"/>
    </row>
    <row r="119" spans="1:83" ht="3.75" customHeight="1" x14ac:dyDescent="0.2">
      <c r="A119" s="6"/>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8"/>
      <c r="BD119" s="24"/>
      <c r="BE119" s="24"/>
      <c r="BF119" s="24"/>
      <c r="BG119" s="24"/>
      <c r="BH119" s="24"/>
      <c r="BI119" s="24"/>
      <c r="BK119" s="24"/>
      <c r="BL119" s="24"/>
      <c r="BM119" s="24"/>
      <c r="BN119" s="24"/>
      <c r="BO119" s="24"/>
    </row>
    <row r="120" spans="1:83" x14ac:dyDescent="0.2">
      <c r="A120" s="6"/>
      <c r="B120" s="13" t="s">
        <v>24</v>
      </c>
      <c r="C120" s="14"/>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8"/>
      <c r="BD120" s="24"/>
      <c r="BE120" s="24"/>
      <c r="BF120" s="24"/>
      <c r="BG120" s="24"/>
      <c r="BH120" s="24"/>
      <c r="BI120" s="24"/>
      <c r="BK120" s="24"/>
      <c r="BL120" s="24"/>
      <c r="BM120" s="24"/>
      <c r="BN120" s="24"/>
      <c r="BO120" s="24"/>
      <c r="BP120" s="24"/>
      <c r="BQ120" s="24"/>
      <c r="BR120" s="24"/>
      <c r="BS120" s="24"/>
      <c r="BT120" s="24"/>
      <c r="BU120" s="24"/>
      <c r="BV120" s="24"/>
      <c r="BW120" s="24"/>
    </row>
    <row r="121" spans="1:83" ht="3.75" customHeight="1" x14ac:dyDescent="0.2">
      <c r="A121" s="6"/>
      <c r="B121" s="14"/>
      <c r="C121" s="14"/>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8"/>
      <c r="BD121" s="24"/>
      <c r="BE121" s="24"/>
      <c r="BF121" s="24"/>
      <c r="BG121" s="24"/>
      <c r="BH121" s="24"/>
      <c r="BI121" s="24"/>
      <c r="BK121" s="24"/>
      <c r="BL121" s="24"/>
      <c r="BM121" s="24"/>
      <c r="BN121" s="24"/>
      <c r="BO121" s="24"/>
    </row>
    <row r="122" spans="1:83" s="24" customFormat="1" ht="14.25" x14ac:dyDescent="0.2">
      <c r="A122" s="6"/>
      <c r="B122" s="14"/>
      <c r="C122" s="14" t="s">
        <v>234</v>
      </c>
      <c r="D122" s="7"/>
      <c r="E122" s="7"/>
      <c r="F122" s="7"/>
      <c r="G122" s="7"/>
      <c r="H122" s="7"/>
      <c r="I122" s="7"/>
      <c r="J122" s="7"/>
      <c r="K122" s="7"/>
      <c r="L122" s="7"/>
      <c r="M122" s="7"/>
      <c r="N122" s="7"/>
      <c r="O122" s="7"/>
      <c r="P122" s="7"/>
      <c r="Q122" s="77"/>
      <c r="R122" s="64"/>
      <c r="S122" s="64"/>
      <c r="T122" s="64"/>
      <c r="U122" s="7"/>
      <c r="V122" s="7"/>
      <c r="W122" s="7"/>
      <c r="X122" s="7"/>
      <c r="Y122" s="7"/>
      <c r="Z122" s="19"/>
      <c r="AA122" s="19"/>
      <c r="AB122" s="19"/>
      <c r="AC122" s="19"/>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8"/>
      <c r="BD122" s="78" t="str">
        <f>C122&amp;IF(R124="No","without check dams","with check dams")</f>
        <v>Permeable Pavement Surface3with check dams</v>
      </c>
      <c r="BE122" s="24" t="s">
        <v>7</v>
      </c>
      <c r="BF122" s="24" t="s">
        <v>71</v>
      </c>
      <c r="BG122" s="24" t="s">
        <v>72</v>
      </c>
      <c r="BI122" s="24" t="s">
        <v>227</v>
      </c>
      <c r="BJ122" s="37"/>
    </row>
    <row r="123" spans="1:83" ht="3.75" customHeight="1" x14ac:dyDescent="0.2">
      <c r="A123" s="6"/>
      <c r="B123" s="14"/>
      <c r="C123" s="14"/>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8"/>
      <c r="BD123" s="24"/>
      <c r="BE123" s="24"/>
      <c r="BF123" s="24"/>
      <c r="BG123" s="24"/>
      <c r="BH123" s="24"/>
      <c r="BI123" s="24"/>
      <c r="BK123" s="24"/>
      <c r="BL123" s="24"/>
      <c r="BM123" s="24"/>
      <c r="BN123" s="24"/>
      <c r="BO123" s="24"/>
    </row>
    <row r="124" spans="1:83" ht="12" customHeight="1" x14ac:dyDescent="0.2">
      <c r="A124" s="6"/>
      <c r="B124" s="14"/>
      <c r="C124" s="14"/>
      <c r="D124" s="202" t="s">
        <v>140</v>
      </c>
      <c r="E124" s="202"/>
      <c r="F124" s="202"/>
      <c r="G124" s="202"/>
      <c r="H124" s="202"/>
      <c r="I124" s="202"/>
      <c r="J124" s="202"/>
      <c r="K124" s="202"/>
      <c r="L124" s="202"/>
      <c r="M124" s="202"/>
      <c r="N124" s="202"/>
      <c r="O124" s="202"/>
      <c r="P124" s="202"/>
      <c r="Q124" s="202"/>
      <c r="R124" s="200"/>
      <c r="S124" s="200"/>
      <c r="T124" s="200"/>
      <c r="U124" s="200"/>
      <c r="V124" s="93"/>
      <c r="W124" s="93"/>
      <c r="X124" s="93"/>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8"/>
      <c r="BD124" s="24"/>
      <c r="BE124" s="24"/>
      <c r="BF124" s="24"/>
      <c r="BG124" s="24"/>
      <c r="BH124" s="24"/>
      <c r="BI124" s="24"/>
      <c r="BK124" s="24"/>
      <c r="BL124" s="24"/>
      <c r="BM124" s="24"/>
      <c r="BN124" s="24"/>
      <c r="BO124" s="24"/>
    </row>
    <row r="125" spans="1:83" x14ac:dyDescent="0.2">
      <c r="A125" s="6"/>
      <c r="B125" s="14"/>
      <c r="C125" s="14"/>
      <c r="D125" s="202"/>
      <c r="E125" s="202"/>
      <c r="F125" s="202"/>
      <c r="G125" s="202"/>
      <c r="H125" s="202"/>
      <c r="I125" s="202"/>
      <c r="J125" s="202"/>
      <c r="K125" s="202"/>
      <c r="L125" s="202"/>
      <c r="M125" s="202"/>
      <c r="N125" s="202"/>
      <c r="O125" s="202"/>
      <c r="P125" s="202"/>
      <c r="Q125" s="202"/>
      <c r="R125" s="7"/>
      <c r="S125" s="7"/>
      <c r="T125" s="7"/>
      <c r="U125" s="7"/>
      <c r="V125" s="7"/>
      <c r="W125" s="93"/>
      <c r="X125" s="93"/>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8"/>
      <c r="BD125" s="24"/>
      <c r="BE125" s="24"/>
      <c r="BF125" s="24"/>
      <c r="BG125" s="24"/>
      <c r="BH125" s="24"/>
      <c r="BI125" s="24"/>
      <c r="BK125" s="24"/>
      <c r="BL125" s="24"/>
      <c r="BM125" s="24"/>
      <c r="BN125" s="24"/>
      <c r="BO125" s="24"/>
    </row>
    <row r="126" spans="1:83" ht="3.75" customHeight="1" x14ac:dyDescent="0.2">
      <c r="A126" s="6"/>
      <c r="B126" s="14"/>
      <c r="C126" s="14"/>
      <c r="D126" s="93"/>
      <c r="E126" s="93"/>
      <c r="F126" s="93"/>
      <c r="G126" s="93"/>
      <c r="H126" s="93"/>
      <c r="I126" s="93"/>
      <c r="J126" s="93"/>
      <c r="K126" s="93"/>
      <c r="L126" s="93"/>
      <c r="M126" s="93"/>
      <c r="N126" s="93"/>
      <c r="O126" s="93"/>
      <c r="P126" s="93"/>
      <c r="Q126" s="93"/>
      <c r="R126" s="93"/>
      <c r="S126" s="93"/>
      <c r="T126" s="93"/>
      <c r="U126" s="93"/>
      <c r="V126" s="93"/>
      <c r="W126" s="93"/>
      <c r="X126" s="93"/>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8"/>
      <c r="BD126" s="24"/>
      <c r="BE126" s="24"/>
      <c r="BF126" s="24"/>
      <c r="BG126" s="24"/>
      <c r="BH126" s="24"/>
      <c r="BI126" s="24"/>
      <c r="BK126" s="24"/>
      <c r="BL126" s="24"/>
      <c r="BM126" s="24"/>
      <c r="BN126" s="24"/>
      <c r="BO126" s="24"/>
    </row>
    <row r="127" spans="1:83" s="24" customFormat="1" x14ac:dyDescent="0.2">
      <c r="A127" s="18"/>
      <c r="B127" s="20"/>
      <c r="C127" s="19"/>
      <c r="D127" s="19" t="s">
        <v>65</v>
      </c>
      <c r="E127" s="19"/>
      <c r="F127" s="19"/>
      <c r="G127" s="19"/>
      <c r="H127" s="19"/>
      <c r="I127" s="19"/>
      <c r="J127" s="19"/>
      <c r="K127" s="19"/>
      <c r="L127" s="19"/>
      <c r="M127" s="19"/>
      <c r="N127" s="19"/>
      <c r="O127" s="19"/>
      <c r="P127" s="19"/>
      <c r="Q127" s="1" t="s">
        <v>52</v>
      </c>
      <c r="R127" s="19"/>
      <c r="S127" s="19"/>
      <c r="T127" s="19"/>
      <c r="U127" s="19"/>
      <c r="V127" s="19"/>
      <c r="W127" s="19"/>
      <c r="X127" s="19"/>
      <c r="Y127" s="21"/>
      <c r="Z127" s="173"/>
      <c r="AA127" s="173"/>
      <c r="AB127" s="173"/>
      <c r="AC127" s="173"/>
      <c r="AD127" s="19" t="s">
        <v>5</v>
      </c>
      <c r="AE127" s="19"/>
      <c r="AF127" s="22" t="s">
        <v>42</v>
      </c>
      <c r="AG127" s="19"/>
      <c r="AH127" s="177" t="str">
        <f>IF(R124="","Select if check dams are used",
IF(Standard="","Select performance standard",
IFERROR(MIN(BE127,BF127,BG127),"")))</f>
        <v>Select if check dams are used</v>
      </c>
      <c r="AI127" s="177"/>
      <c r="AJ127" s="177"/>
      <c r="AK127" s="177"/>
      <c r="AL127" s="177"/>
      <c r="AM127" s="177"/>
      <c r="AN127" s="177"/>
      <c r="AO127" s="177"/>
      <c r="AP127" s="177"/>
      <c r="AQ127" s="177"/>
      <c r="AR127" s="177"/>
      <c r="AS127" s="19"/>
      <c r="AT127" s="22" t="str">
        <f>"="</f>
        <v>=</v>
      </c>
      <c r="AU127" s="19"/>
      <c r="AV127" s="183" t="str">
        <f>IFERROR(IF(Z127="","",Z127*AH127),"")</f>
        <v/>
      </c>
      <c r="AW127" s="183"/>
      <c r="AX127" s="183"/>
      <c r="AY127" s="183"/>
      <c r="AZ127" s="183"/>
      <c r="BA127" s="19" t="s">
        <v>5</v>
      </c>
      <c r="BB127" s="23"/>
      <c r="BD127" s="24" t="s">
        <v>93</v>
      </c>
      <c r="BE127" s="24" t="str">
        <f>IF(PastureCheck,INDEX('Sizing Factors'!$H:$H,MATCH($BD$122&amp;$BD$127&amp;$BE$122,'Sizing Factors'!$L:$L,0)),"")</f>
        <v/>
      </c>
      <c r="BF127" s="24" t="str">
        <f>IF(PeakCheck,INDEX('Sizing Factors'!$H:$H,MATCH($BD$122&amp;$BD$127&amp;$BF$122,'Sizing Factors'!$L:$L,0)),"")</f>
        <v/>
      </c>
      <c r="BG127" s="24" t="str">
        <f>IF(WQCheck,INDEX('Sizing Factors'!$H:$H,MATCH($BD$122&amp;$BD$127&amp;$BG$122,'Sizing Factors'!$L:$L,0)),"")</f>
        <v/>
      </c>
      <c r="BI127" s="24" t="str">
        <f>IF(WQCheck,Z127*BG127,"")</f>
        <v/>
      </c>
      <c r="BJ127" s="37"/>
      <c r="BP127" s="2"/>
      <c r="BQ127" s="2"/>
      <c r="BR127" s="2"/>
      <c r="BS127" s="2"/>
      <c r="BT127" s="2"/>
      <c r="BU127" s="2"/>
      <c r="BV127" s="2"/>
      <c r="BW127" s="2"/>
    </row>
    <row r="128" spans="1:83" ht="3.75" customHeight="1" x14ac:dyDescent="0.2">
      <c r="A128" s="6"/>
      <c r="B128" s="14"/>
      <c r="C128" s="14"/>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8"/>
      <c r="BD128" s="24"/>
      <c r="BE128" s="24"/>
      <c r="BF128" s="24"/>
      <c r="BG128" s="24"/>
      <c r="BH128" s="24"/>
      <c r="BI128" s="24"/>
      <c r="BK128" s="24"/>
      <c r="BL128" s="24"/>
      <c r="BM128" s="24"/>
      <c r="BN128" s="24"/>
      <c r="BO128" s="24"/>
    </row>
    <row r="129" spans="1:75" x14ac:dyDescent="0.2">
      <c r="A129" s="6"/>
      <c r="B129" s="14"/>
      <c r="C129" s="14"/>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80" t="str">
        <f>IF(WQCheck,"PGHS Area Managed","")</f>
        <v/>
      </c>
      <c r="AS129" s="165"/>
      <c r="AT129" s="81" t="str">
        <f>IF(WQCheck,"=","")</f>
        <v/>
      </c>
      <c r="AU129" s="165"/>
      <c r="AV129" s="207" t="str">
        <f>BI127</f>
        <v/>
      </c>
      <c r="AW129" s="207"/>
      <c r="AX129" s="207"/>
      <c r="AY129" s="207"/>
      <c r="AZ129" s="207"/>
      <c r="BA129" s="19" t="str">
        <f>IF(WQCheck,"sf","")</f>
        <v/>
      </c>
      <c r="BB129" s="8"/>
      <c r="BD129" s="24"/>
      <c r="BE129" s="24"/>
      <c r="BF129" s="24"/>
      <c r="BG129" s="24"/>
      <c r="BH129" s="24"/>
      <c r="BI129" s="24"/>
      <c r="BK129" s="24"/>
      <c r="BL129" s="24"/>
      <c r="BM129" s="24"/>
      <c r="BN129" s="24"/>
      <c r="BO129" s="24"/>
    </row>
    <row r="130" spans="1:75" x14ac:dyDescent="0.2">
      <c r="A130" s="6"/>
      <c r="B130" s="14"/>
      <c r="C130" s="14"/>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8"/>
      <c r="BD130" s="24"/>
      <c r="BE130" s="24"/>
      <c r="BF130" s="24"/>
      <c r="BG130" s="24"/>
      <c r="BH130" s="24"/>
      <c r="BI130" s="24"/>
      <c r="BK130" s="24"/>
      <c r="BL130" s="24"/>
      <c r="BM130" s="24"/>
      <c r="BN130" s="24"/>
      <c r="BO130" s="24"/>
    </row>
    <row r="131" spans="1:75" x14ac:dyDescent="0.2">
      <c r="A131" s="18"/>
      <c r="B131" s="20"/>
      <c r="C131" s="20"/>
      <c r="D131" s="19" t="s">
        <v>66</v>
      </c>
      <c r="E131" s="19"/>
      <c r="F131" s="19"/>
      <c r="G131" s="19"/>
      <c r="H131" s="19"/>
      <c r="I131" s="19"/>
      <c r="J131" s="19"/>
      <c r="K131" s="19"/>
      <c r="L131" s="19"/>
      <c r="M131" s="19"/>
      <c r="N131" s="19"/>
      <c r="O131" s="19"/>
      <c r="P131" s="19"/>
      <c r="Q131" s="1" t="s">
        <v>52</v>
      </c>
      <c r="R131" s="19"/>
      <c r="S131" s="19"/>
      <c r="T131" s="19"/>
      <c r="U131" s="19"/>
      <c r="V131" s="19"/>
      <c r="W131" s="19"/>
      <c r="X131" s="19"/>
      <c r="Y131" s="21"/>
      <c r="Z131" s="173"/>
      <c r="AA131" s="173"/>
      <c r="AB131" s="173"/>
      <c r="AC131" s="173"/>
      <c r="AD131" s="19" t="s">
        <v>5</v>
      </c>
      <c r="AE131" s="19"/>
      <c r="AF131" s="22" t="s">
        <v>42</v>
      </c>
      <c r="AG131" s="19"/>
      <c r="AH131" s="177" t="str">
        <f>IF(R124="","Select if check dams are used",
IF(Standard="","Select performance standard",
IFERROR(MIN(BE131,BF131,BG131),"")))</f>
        <v>Select if check dams are used</v>
      </c>
      <c r="AI131" s="177"/>
      <c r="AJ131" s="177"/>
      <c r="AK131" s="177"/>
      <c r="AL131" s="177"/>
      <c r="AM131" s="177"/>
      <c r="AN131" s="177"/>
      <c r="AO131" s="177"/>
      <c r="AP131" s="177"/>
      <c r="AQ131" s="177"/>
      <c r="AR131" s="177"/>
      <c r="AS131" s="19"/>
      <c r="AT131" s="22" t="str">
        <f>"="</f>
        <v>=</v>
      </c>
      <c r="AU131" s="19"/>
      <c r="AV131" s="183" t="str">
        <f>IFERROR(IF(Z131="","",Z131*AH131),"")</f>
        <v/>
      </c>
      <c r="AW131" s="183"/>
      <c r="AX131" s="183"/>
      <c r="AY131" s="183"/>
      <c r="AZ131" s="183"/>
      <c r="BA131" s="19" t="s">
        <v>5</v>
      </c>
      <c r="BB131" s="23"/>
      <c r="BD131" s="24" t="s">
        <v>91</v>
      </c>
      <c r="BE131" s="24" t="str">
        <f>IF(PastureCheck,INDEX('Sizing Factors'!$H:$H,MATCH($BD$122&amp;$BD$131&amp;$BE$122,'Sizing Factors'!$L:$L,0)),"")</f>
        <v/>
      </c>
      <c r="BF131" s="24" t="str">
        <f>IF(PeakCheck,INDEX('Sizing Factors'!$H:$H,MATCH($BD$122&amp;$BD$131&amp;$BF$122,'Sizing Factors'!$L:$L,0)),"")</f>
        <v/>
      </c>
      <c r="BG131" s="24" t="str">
        <f>IF(WQCheck,INDEX('Sizing Factors'!$H:$H,MATCH($BD$122&amp;$BD$131&amp;$BG$122,'Sizing Factors'!$L:$L,0)),"")</f>
        <v/>
      </c>
      <c r="BH131" s="24"/>
      <c r="BI131" s="24" t="str">
        <f>IF(WQCheck,Z131*BG131,"")</f>
        <v/>
      </c>
      <c r="BK131" s="24"/>
      <c r="BL131" s="24"/>
      <c r="BM131" s="24"/>
      <c r="BN131" s="24"/>
      <c r="BO131" s="24"/>
    </row>
    <row r="132" spans="1:75" ht="3.75" customHeight="1" x14ac:dyDescent="0.2">
      <c r="A132" s="6"/>
      <c r="B132" s="14"/>
      <c r="C132" s="14"/>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8"/>
      <c r="BD132" s="24"/>
      <c r="BE132" s="24"/>
      <c r="BF132" s="24"/>
      <c r="BG132" s="24"/>
      <c r="BH132" s="24"/>
      <c r="BI132" s="24"/>
      <c r="BK132" s="24"/>
      <c r="BL132" s="24"/>
      <c r="BM132" s="24"/>
      <c r="BN132" s="24"/>
      <c r="BO132" s="24"/>
    </row>
    <row r="133" spans="1:75" x14ac:dyDescent="0.2">
      <c r="A133" s="18"/>
      <c r="B133" s="20"/>
      <c r="C133" s="20"/>
      <c r="D133" s="19"/>
      <c r="E133" s="19"/>
      <c r="F133" s="19"/>
      <c r="G133" s="19"/>
      <c r="H133" s="19"/>
      <c r="I133" s="19"/>
      <c r="J133" s="19"/>
      <c r="K133" s="19"/>
      <c r="L133" s="19"/>
      <c r="M133" s="19"/>
      <c r="N133" s="19"/>
      <c r="O133" s="19"/>
      <c r="P133" s="19"/>
      <c r="Q133" s="1"/>
      <c r="R133" s="19"/>
      <c r="S133" s="19"/>
      <c r="T133" s="19"/>
      <c r="U133" s="19"/>
      <c r="V133" s="19"/>
      <c r="W133" s="19"/>
      <c r="X133" s="19"/>
      <c r="Y133" s="19"/>
      <c r="Z133" s="19"/>
      <c r="AA133" s="19"/>
      <c r="AB133" s="19"/>
      <c r="AC133" s="19"/>
      <c r="AD133" s="19"/>
      <c r="AE133" s="19"/>
      <c r="AF133" s="19"/>
      <c r="AG133" s="19"/>
      <c r="AH133" s="167"/>
      <c r="AI133" s="167"/>
      <c r="AJ133" s="167"/>
      <c r="AK133" s="167"/>
      <c r="AL133" s="167"/>
      <c r="AM133" s="167"/>
      <c r="AN133" s="167"/>
      <c r="AO133" s="167"/>
      <c r="AP133" s="167"/>
      <c r="AQ133" s="167"/>
      <c r="AR133" s="80" t="str">
        <f>IF(WQCheck,"PGHS Area Managed","")</f>
        <v/>
      </c>
      <c r="AS133" s="165"/>
      <c r="AT133" s="81" t="str">
        <f>IF(WQCheck,"=","")</f>
        <v/>
      </c>
      <c r="AU133" s="165"/>
      <c r="AV133" s="207" t="str">
        <f>BI131</f>
        <v/>
      </c>
      <c r="AW133" s="207"/>
      <c r="AX133" s="207"/>
      <c r="AY133" s="207"/>
      <c r="AZ133" s="207"/>
      <c r="BA133" s="19" t="str">
        <f>IF(WQCheck,"sf","")</f>
        <v/>
      </c>
      <c r="BB133" s="23"/>
      <c r="BD133" s="24"/>
      <c r="BE133" s="24"/>
      <c r="BF133" s="24"/>
      <c r="BG133" s="24"/>
      <c r="BH133" s="24"/>
      <c r="BI133" s="24"/>
      <c r="BK133" s="24"/>
      <c r="BL133" s="24"/>
      <c r="BM133" s="24"/>
      <c r="BN133" s="24"/>
      <c r="BO133" s="24"/>
    </row>
    <row r="134" spans="1:75" ht="3.75" customHeight="1" x14ac:dyDescent="0.2">
      <c r="A134" s="6"/>
      <c r="B134" s="14"/>
      <c r="C134" s="14"/>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8"/>
      <c r="BD134" s="24"/>
      <c r="BE134" s="24"/>
      <c r="BF134" s="24"/>
      <c r="BG134" s="24"/>
      <c r="BH134" s="24"/>
      <c r="BI134" s="24"/>
      <c r="BK134" s="24"/>
      <c r="BL134" s="24"/>
      <c r="BM134" s="24"/>
      <c r="BN134" s="24"/>
      <c r="BO134" s="24"/>
    </row>
    <row r="135" spans="1:75" x14ac:dyDescent="0.2">
      <c r="A135" s="6"/>
      <c r="B135" s="13" t="s">
        <v>25</v>
      </c>
      <c r="C135" s="14"/>
      <c r="D135" s="7"/>
      <c r="E135" s="7"/>
      <c r="F135" s="7"/>
      <c r="G135" s="7"/>
      <c r="H135" s="7"/>
      <c r="I135" s="7"/>
      <c r="J135" s="7"/>
      <c r="K135" s="7"/>
      <c r="L135" s="164" t="str">
        <f>IF(WQCheck,"(does not meet WQ Treatment Standard)","")</f>
        <v/>
      </c>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8"/>
      <c r="BD135" s="36" t="str">
        <f>C137</f>
        <v>Vegetated Roof System</v>
      </c>
      <c r="BE135" s="24" t="s">
        <v>7</v>
      </c>
      <c r="BF135" s="24" t="s">
        <v>71</v>
      </c>
      <c r="BG135" s="24"/>
      <c r="BH135" s="24"/>
      <c r="BI135" s="24"/>
      <c r="BK135" s="24"/>
      <c r="BL135" s="24"/>
      <c r="BM135" s="24"/>
      <c r="BN135" s="24"/>
      <c r="BO135" s="24"/>
    </row>
    <row r="136" spans="1:75" ht="3.75" customHeight="1" x14ac:dyDescent="0.2">
      <c r="A136" s="6"/>
      <c r="B136" s="14"/>
      <c r="C136" s="14"/>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8"/>
      <c r="BD136" s="24"/>
      <c r="BE136" s="24"/>
      <c r="BF136" s="24"/>
      <c r="BG136" s="24"/>
      <c r="BH136" s="24"/>
      <c r="BI136" s="24"/>
      <c r="BK136" s="24"/>
      <c r="BL136" s="24"/>
      <c r="BM136" s="24"/>
      <c r="BN136" s="24"/>
      <c r="BO136" s="24"/>
    </row>
    <row r="137" spans="1:75" x14ac:dyDescent="0.2">
      <c r="A137" s="6"/>
      <c r="B137" s="14"/>
      <c r="C137" s="14" t="s">
        <v>53</v>
      </c>
      <c r="D137" s="7"/>
      <c r="E137" s="7"/>
      <c r="F137" s="7"/>
      <c r="G137" s="7"/>
      <c r="H137" s="7"/>
      <c r="I137" s="7"/>
      <c r="J137" s="7"/>
      <c r="K137" s="7"/>
      <c r="L137" s="7"/>
      <c r="M137" s="7"/>
      <c r="N137" s="7"/>
      <c r="O137" s="7"/>
      <c r="P137" s="7"/>
      <c r="Q137" s="1" t="s">
        <v>54</v>
      </c>
      <c r="R137" s="19"/>
      <c r="S137" s="19"/>
      <c r="T137" s="19"/>
      <c r="U137" s="19"/>
      <c r="V137" s="19"/>
      <c r="W137" s="19"/>
      <c r="X137" s="19"/>
      <c r="Y137" s="21"/>
      <c r="Z137" s="173"/>
      <c r="AA137" s="173"/>
      <c r="AB137" s="173"/>
      <c r="AC137" s="173"/>
      <c r="AD137" s="19" t="s">
        <v>5</v>
      </c>
      <c r="AE137" s="19"/>
      <c r="AF137" s="22" t="s">
        <v>42</v>
      </c>
      <c r="AG137" s="19"/>
      <c r="AH137" s="184" t="str">
        <f>IF(Standard="","Select performance standard",
IFERROR(MIN(BE137,BF137),""))</f>
        <v>Select performance standard</v>
      </c>
      <c r="AI137" s="184"/>
      <c r="AJ137" s="184"/>
      <c r="AK137" s="184"/>
      <c r="AL137" s="184"/>
      <c r="AM137" s="184"/>
      <c r="AN137" s="184"/>
      <c r="AO137" s="184"/>
      <c r="AP137" s="184"/>
      <c r="AQ137" s="184"/>
      <c r="AR137" s="184"/>
      <c r="AS137" s="19"/>
      <c r="AT137" s="22" t="str">
        <f>"="</f>
        <v>=</v>
      </c>
      <c r="AU137" s="19"/>
      <c r="AV137" s="183" t="str">
        <f>IFERROR(IF(Z137="","",Z137*AH137),"")</f>
        <v/>
      </c>
      <c r="AW137" s="183"/>
      <c r="AX137" s="183"/>
      <c r="AY137" s="183"/>
      <c r="AZ137" s="183"/>
      <c r="BA137" s="19" t="s">
        <v>5</v>
      </c>
      <c r="BB137" s="8"/>
      <c r="BD137" s="24"/>
      <c r="BE137" s="24" t="str">
        <f>IF(PastureCheck,INDEX('Sizing Factors'!$H:$H,MATCH($BD$135&amp;$BE$135,'Sizing Factors'!$L:$L,0)),"")</f>
        <v/>
      </c>
      <c r="BF137" s="24" t="str">
        <f>IF(PeakCheck,INDEX('Sizing Factors'!$H:$H,MATCH($BD$135&amp;$BF$135,'Sizing Factors'!$L:$L,0)),"")</f>
        <v/>
      </c>
      <c r="BG137" s="24"/>
      <c r="BH137" s="24"/>
      <c r="BI137" s="24"/>
      <c r="BK137" s="24"/>
      <c r="BL137" s="24"/>
      <c r="BM137" s="24"/>
      <c r="BN137" s="24"/>
      <c r="BO137" s="24"/>
    </row>
    <row r="138" spans="1:75" ht="3.75" customHeight="1" x14ac:dyDescent="0.2">
      <c r="A138" s="6"/>
      <c r="B138" s="14"/>
      <c r="C138" s="14"/>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8"/>
      <c r="BD138" s="24"/>
      <c r="BE138" s="24"/>
      <c r="BF138" s="24"/>
      <c r="BG138" s="24"/>
      <c r="BH138" s="24"/>
      <c r="BI138" s="24"/>
      <c r="BK138" s="24"/>
      <c r="BL138" s="24"/>
      <c r="BM138" s="24"/>
      <c r="BN138" s="24"/>
      <c r="BO138" s="24"/>
    </row>
    <row r="139" spans="1:75" s="36" customFormat="1" x14ac:dyDescent="0.2">
      <c r="A139" s="75" t="s">
        <v>137</v>
      </c>
      <c r="B139" s="61"/>
      <c r="C139" s="61"/>
      <c r="D139" s="61"/>
      <c r="E139" s="61"/>
      <c r="F139" s="61"/>
      <c r="G139" s="61"/>
      <c r="H139" s="61"/>
      <c r="I139" s="61"/>
      <c r="J139" s="61"/>
      <c r="K139" s="61"/>
      <c r="L139" s="61"/>
      <c r="M139" s="61"/>
      <c r="N139" s="61"/>
      <c r="O139" s="61"/>
      <c r="P139" s="61"/>
      <c r="Q139" s="61"/>
      <c r="R139" s="61"/>
      <c r="S139" s="61"/>
      <c r="T139" s="61"/>
      <c r="U139" s="61"/>
      <c r="V139" s="61"/>
      <c r="W139" s="61"/>
      <c r="X139" s="61" t="s">
        <v>13</v>
      </c>
      <c r="Y139" s="61"/>
      <c r="Z139" s="61"/>
      <c r="AA139" s="61"/>
      <c r="AB139" s="61"/>
      <c r="AC139" s="61"/>
      <c r="AD139" s="61"/>
      <c r="AE139" s="61"/>
      <c r="AF139" s="61"/>
      <c r="AG139" s="61"/>
      <c r="AH139" s="181" t="s">
        <v>18</v>
      </c>
      <c r="AI139" s="181"/>
      <c r="AJ139" s="181"/>
      <c r="AK139" s="181"/>
      <c r="AL139" s="181"/>
      <c r="AM139" s="181"/>
      <c r="AN139" s="181"/>
      <c r="AO139" s="181"/>
      <c r="AP139" s="181"/>
      <c r="AQ139" s="181"/>
      <c r="AR139" s="181"/>
      <c r="AS139" s="61"/>
      <c r="AT139" s="61"/>
      <c r="AU139" s="61"/>
      <c r="AV139" s="181" t="s">
        <v>14</v>
      </c>
      <c r="AW139" s="181"/>
      <c r="AX139" s="181"/>
      <c r="AY139" s="181"/>
      <c r="AZ139" s="181"/>
      <c r="BA139" s="181"/>
      <c r="BB139" s="62"/>
      <c r="BD139" s="47"/>
      <c r="BE139" s="47"/>
      <c r="BF139" s="47"/>
      <c r="BG139" s="47"/>
      <c r="BH139" s="47"/>
      <c r="BI139" s="47"/>
      <c r="BJ139" s="157"/>
      <c r="BK139" s="47"/>
      <c r="BL139" s="47"/>
      <c r="BM139" s="47"/>
      <c r="BN139" s="47"/>
      <c r="BO139" s="47"/>
    </row>
    <row r="140" spans="1:75" ht="3.75" customHeight="1" x14ac:dyDescent="0.2">
      <c r="A140" s="6"/>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8"/>
      <c r="BD140" s="24"/>
      <c r="BE140" s="24"/>
      <c r="BF140" s="24"/>
      <c r="BG140" s="24"/>
      <c r="BH140" s="24"/>
      <c r="BI140" s="24"/>
      <c r="BK140" s="24"/>
      <c r="BL140" s="24"/>
      <c r="BM140" s="24"/>
      <c r="BN140" s="24"/>
      <c r="BO140" s="24"/>
    </row>
    <row r="141" spans="1:75" ht="12" customHeight="1" x14ac:dyDescent="0.2">
      <c r="A141" s="6"/>
      <c r="B141" s="13" t="s">
        <v>26</v>
      </c>
      <c r="C141" s="14"/>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35"/>
      <c r="AI141" s="35"/>
      <c r="AJ141" s="35"/>
      <c r="AK141" s="35"/>
      <c r="AL141" s="35"/>
      <c r="AM141" s="35"/>
      <c r="AN141" s="35"/>
      <c r="AO141" s="35"/>
      <c r="AP141" s="35"/>
      <c r="AQ141" s="35"/>
      <c r="AR141" s="35"/>
      <c r="AS141" s="7"/>
      <c r="AT141" s="7"/>
      <c r="AU141" s="7"/>
      <c r="AV141" s="7"/>
      <c r="AW141" s="7"/>
      <c r="AX141" s="7"/>
      <c r="AY141" s="7"/>
      <c r="AZ141" s="7"/>
      <c r="BA141" s="7"/>
      <c r="BB141" s="8"/>
      <c r="BD141" s="24"/>
      <c r="BE141" s="24"/>
      <c r="BF141" s="24"/>
      <c r="BG141" s="24"/>
      <c r="BH141" s="24"/>
      <c r="BI141" s="24"/>
      <c r="BK141" s="24"/>
      <c r="BL141" s="24"/>
      <c r="BM141" s="24"/>
      <c r="BN141" s="24"/>
      <c r="BO141" s="24"/>
      <c r="BP141" s="24"/>
      <c r="BQ141" s="24"/>
      <c r="BR141" s="24"/>
      <c r="BS141" s="24"/>
      <c r="BT141" s="24"/>
      <c r="BU141" s="24"/>
      <c r="BV141" s="24"/>
      <c r="BW141" s="24"/>
    </row>
    <row r="142" spans="1:75" s="24" customFormat="1" ht="3.75" customHeight="1" x14ac:dyDescent="0.2">
      <c r="A142" s="18"/>
      <c r="B142" s="20"/>
      <c r="C142" s="20"/>
      <c r="D142" s="123"/>
      <c r="E142" s="123"/>
      <c r="F142" s="123"/>
      <c r="G142" s="123"/>
      <c r="H142" s="123"/>
      <c r="I142" s="123"/>
      <c r="J142" s="123"/>
      <c r="K142" s="123"/>
      <c r="L142" s="123"/>
      <c r="M142" s="123"/>
      <c r="N142" s="123"/>
      <c r="O142" s="123"/>
      <c r="P142" s="123"/>
      <c r="Q142" s="123"/>
      <c r="R142" s="123"/>
      <c r="S142" s="123"/>
      <c r="T142" s="123"/>
      <c r="U142" s="123"/>
      <c r="V142" s="123"/>
      <c r="W142" s="123"/>
      <c r="X142" s="123"/>
      <c r="Y142" s="123"/>
      <c r="Z142" s="123"/>
      <c r="AA142" s="123"/>
      <c r="AB142" s="123"/>
      <c r="AC142" s="123"/>
      <c r="AD142" s="123"/>
      <c r="AE142" s="123"/>
      <c r="AF142" s="123"/>
      <c r="AG142" s="123"/>
      <c r="AH142" s="176" t="str">
        <f>IF(Standard="","Select performance standard",IF(K145="","Enter contributing area",IF(K149="","Select ponding depth",IF(K151="","Select sideslopes",
IFERROR(_xlfn.XLOOKUP(MIN(BH145,BH147,BH149),BH145:BH149,BG145:BG149),
IF(PastureCheck,BI147,IF(PeakCheck,BI149,IF(WQCheck,BI145,""))))))))</f>
        <v>Select performance standard</v>
      </c>
      <c r="AI142" s="176"/>
      <c r="AJ142" s="176"/>
      <c r="AK142" s="176"/>
      <c r="AL142" s="176"/>
      <c r="AM142" s="176"/>
      <c r="AN142" s="176"/>
      <c r="AO142" s="176"/>
      <c r="AP142" s="176"/>
      <c r="AQ142" s="176"/>
      <c r="AR142" s="176"/>
      <c r="AS142" s="123"/>
      <c r="AT142" s="93"/>
      <c r="AU142" s="93"/>
      <c r="AV142" s="93"/>
      <c r="AW142" s="93"/>
      <c r="AX142" s="93"/>
      <c r="AY142" s="93"/>
      <c r="AZ142" s="93"/>
      <c r="BA142" s="19"/>
      <c r="BB142" s="23"/>
      <c r="BE142" s="37"/>
      <c r="BF142" s="37"/>
      <c r="BG142" s="37"/>
      <c r="BH142" s="37"/>
      <c r="BI142" s="37"/>
      <c r="BJ142" s="37"/>
    </row>
    <row r="143" spans="1:75" ht="12" customHeight="1" x14ac:dyDescent="0.2">
      <c r="A143" s="6"/>
      <c r="B143" s="14"/>
      <c r="C143" s="14" t="s">
        <v>238</v>
      </c>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176"/>
      <c r="AI143" s="176"/>
      <c r="AJ143" s="176"/>
      <c r="AK143" s="176"/>
      <c r="AL143" s="176"/>
      <c r="AM143" s="176"/>
      <c r="AN143" s="176"/>
      <c r="AO143" s="176"/>
      <c r="AP143" s="176"/>
      <c r="AQ143" s="176"/>
      <c r="AR143" s="176"/>
      <c r="AS143" s="7"/>
      <c r="AT143" s="7"/>
      <c r="AU143" s="7"/>
      <c r="AV143" s="7"/>
      <c r="AW143" s="7"/>
      <c r="AX143" s="7"/>
      <c r="AY143" s="7"/>
      <c r="AZ143" s="7"/>
      <c r="BA143" s="7"/>
      <c r="BB143" s="8"/>
      <c r="BD143" s="36" t="str">
        <f>C143</f>
        <v>Non-Infiltrating Bioretention with Underdrain5</v>
      </c>
      <c r="BE143" s="24"/>
      <c r="BF143" s="24"/>
      <c r="BG143" s="24"/>
      <c r="BH143" s="24"/>
      <c r="BI143" s="24"/>
    </row>
    <row r="144" spans="1:75" ht="3.75" customHeight="1" x14ac:dyDescent="0.2">
      <c r="A144" s="6"/>
      <c r="B144" s="14"/>
      <c r="C144" s="14"/>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176"/>
      <c r="AI144" s="176"/>
      <c r="AJ144" s="176"/>
      <c r="AK144" s="176"/>
      <c r="AL144" s="176"/>
      <c r="AM144" s="176"/>
      <c r="AN144" s="176"/>
      <c r="AO144" s="176"/>
      <c r="AP144" s="176"/>
      <c r="AQ144" s="176"/>
      <c r="AR144" s="176"/>
      <c r="AS144" s="7"/>
      <c r="AT144" s="7"/>
      <c r="AU144" s="7"/>
      <c r="AV144" s="7"/>
      <c r="AW144" s="7"/>
      <c r="AX144" s="7"/>
      <c r="AY144" s="7"/>
      <c r="AZ144" s="7"/>
      <c r="BA144" s="7"/>
      <c r="BB144" s="8"/>
      <c r="BD144" s="24"/>
      <c r="BE144" s="24"/>
      <c r="BF144" s="24"/>
      <c r="BG144" s="24"/>
      <c r="BH144" s="24"/>
      <c r="BI144" s="24"/>
    </row>
    <row r="145" spans="1:84" s="24" customFormat="1" x14ac:dyDescent="0.2">
      <c r="A145" s="18"/>
      <c r="B145" s="20"/>
      <c r="C145" s="20"/>
      <c r="D145" s="76" t="s">
        <v>19</v>
      </c>
      <c r="E145" s="76"/>
      <c r="F145" s="19"/>
      <c r="G145" s="19"/>
      <c r="H145" s="19"/>
      <c r="I145" s="19"/>
      <c r="J145" s="19"/>
      <c r="K145" s="173"/>
      <c r="L145" s="173"/>
      <c r="M145" s="173"/>
      <c r="N145" s="173"/>
      <c r="O145" s="19" t="s">
        <v>5</v>
      </c>
      <c r="P145" s="19"/>
      <c r="Q145" s="1" t="s">
        <v>43</v>
      </c>
      <c r="R145" s="19"/>
      <c r="S145" s="19"/>
      <c r="T145" s="19"/>
      <c r="U145" s="19"/>
      <c r="V145" s="19"/>
      <c r="W145" s="19"/>
      <c r="X145" s="19"/>
      <c r="Y145" s="21" t="str">
        <f>IFERROR(IF(AND(AH142=BG145,BF145&lt;&gt;0),"[ ",""),"")</f>
        <v/>
      </c>
      <c r="Z145" s="173"/>
      <c r="AA145" s="173"/>
      <c r="AB145" s="173"/>
      <c r="AC145" s="173"/>
      <c r="AD145" s="19" t="s">
        <v>5</v>
      </c>
      <c r="AE145" s="19"/>
      <c r="AF145" s="22" t="str">
        <f>IFERROR(IF(AH142=BG145,IF(BF145=0,"÷",IF(BF145&gt;0,"-","+")),
IF(AH142=BG147,IF(BF147=0,"÷",IF(BF147&gt;0,"-","+")),
IF(AH142=BG149,IF(BF149=0,"÷",IF(BF149&gt;0,"-","+")),":"))),":")</f>
        <v>:</v>
      </c>
      <c r="AG145" s="19"/>
      <c r="AH145" s="177"/>
      <c r="AI145" s="177"/>
      <c r="AJ145" s="177"/>
      <c r="AK145" s="177"/>
      <c r="AL145" s="177"/>
      <c r="AM145" s="177"/>
      <c r="AN145" s="177"/>
      <c r="AO145" s="177"/>
      <c r="AP145" s="177"/>
      <c r="AQ145" s="177"/>
      <c r="AR145" s="177"/>
      <c r="AS145" s="19"/>
      <c r="AT145" s="22" t="s">
        <v>108</v>
      </c>
      <c r="AU145" s="19"/>
      <c r="AV145" s="183" t="str">
        <f>IF(OR(Standard="",K145=""),"",IFERROR(MIN(IF(Standard=WQ,K147,K145),BH145,BH147,BH149),""))</f>
        <v/>
      </c>
      <c r="AW145" s="183"/>
      <c r="AX145" s="183"/>
      <c r="AY145" s="183"/>
      <c r="AZ145" s="183"/>
      <c r="BA145" s="19" t="s">
        <v>5</v>
      </c>
      <c r="BB145" s="23"/>
      <c r="BD145" s="24" t="s">
        <v>72</v>
      </c>
      <c r="BE145" s="37" t="e">
        <f>INDEX('Sizing Factors'!$H:$H,MATCH(C143&amp;K151&amp;K149&amp;
IF(K149&lt;=6,IF(K147&lt;=2000,"02000",IF(K147&lt;=10000,"200010000","x")),IF(K147&lt;=2700,"02700",IF(K147&lt;=10000,"270010000","x")))
&amp; $BD$145,'Sizing Factors'!$L:$L,0))</f>
        <v>#N/A</v>
      </c>
      <c r="BF145" s="37" t="e">
        <f>INDEX('Sizing Factors'!$I:$I,MATCH(C143&amp;K151&amp;K149&amp;IF(K149&lt;=6,IF(K147&lt;=2000,"02000",IF(K147&lt;=10000,"200010000","x")),IF(K147&lt;=2700,"02700",IF(K147&lt;=10000,"270010000","x")))&amp;$BD$145,'Sizing Factors'!$L:$L,0))</f>
        <v>#N/A</v>
      </c>
      <c r="BG145" s="37" t="e">
        <f>IF(BF145=0,
BE145*100&amp;"%",
ABS(BF145)&amp;" ] ÷ "&amp;BE145)</f>
        <v>#N/A</v>
      </c>
      <c r="BH145" s="38" t="str">
        <f>IF(WQCheck,MAX((Z145-BF145)/BE145,0),"")</f>
        <v/>
      </c>
      <c r="BI145" s="41" t="e">
        <f>IF(K147&gt;10000,"Not applicable for contributing area &gt; 10,000 sf",INDEX('Sizing Factors'!$J:$J,MATCH(C143&amp;K151&amp;K149&amp;IF(K149&lt;=6,IF(K147&lt;=2000,"02000",IF(K147&lt;=10000,"200010000","x")),IF(K147&lt;=2700,"02700",IF(K147&lt;=10000,"270010000","x")))&amp;$BD$145,'Sizing Factors'!$L:$L,0)))</f>
        <v>#N/A</v>
      </c>
      <c r="BJ145" s="37" t="str">
        <f>IF(WQCheck,ROUNDUP(K147*BE145+BF145,0),"")</f>
        <v/>
      </c>
      <c r="BK145" s="2"/>
      <c r="BL145" s="2"/>
      <c r="BM145" s="2"/>
      <c r="BN145" s="2"/>
      <c r="BO145" s="2"/>
      <c r="BP145" s="2"/>
      <c r="BQ145" s="2"/>
      <c r="BR145" s="2"/>
      <c r="BS145" s="2"/>
      <c r="BT145" s="2"/>
      <c r="BU145" s="2"/>
      <c r="BV145" s="2"/>
      <c r="BW145" s="2"/>
      <c r="BX145" s="2"/>
      <c r="BY145" s="2"/>
      <c r="BZ145" s="2"/>
      <c r="CA145" s="2"/>
      <c r="CB145" s="2"/>
      <c r="CC145" s="2"/>
      <c r="CD145" s="2"/>
      <c r="CE145" s="2"/>
      <c r="CF145" s="2"/>
    </row>
    <row r="146" spans="1:84" ht="3.75" customHeight="1" x14ac:dyDescent="0.2">
      <c r="A146" s="6"/>
      <c r="B146" s="14"/>
      <c r="C146" s="14"/>
      <c r="D146" s="73"/>
      <c r="E146" s="73"/>
      <c r="F146" s="7"/>
      <c r="G146" s="7"/>
      <c r="H146" s="7"/>
      <c r="I146" s="7"/>
      <c r="J146" s="7"/>
      <c r="K146" s="7"/>
      <c r="L146" s="7"/>
      <c r="M146" s="7"/>
      <c r="N146" s="7"/>
      <c r="O146" s="7"/>
      <c r="P146" s="7"/>
      <c r="Q146" s="9"/>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8"/>
      <c r="BD146" s="24"/>
      <c r="BE146" s="24"/>
      <c r="BF146" s="24"/>
      <c r="BG146" s="24"/>
      <c r="BH146" s="24"/>
      <c r="BI146" s="24"/>
    </row>
    <row r="147" spans="1:84" s="24" customFormat="1" ht="12" customHeight="1" x14ac:dyDescent="0.2">
      <c r="A147" s="18"/>
      <c r="B147" s="20"/>
      <c r="C147" s="20"/>
      <c r="D147" s="172" t="s">
        <v>224</v>
      </c>
      <c r="E147" s="172"/>
      <c r="F147" s="172"/>
      <c r="G147" s="172"/>
      <c r="H147" s="172"/>
      <c r="I147" s="172"/>
      <c r="J147" s="172"/>
      <c r="K147" s="173"/>
      <c r="L147" s="173"/>
      <c r="M147" s="173"/>
      <c r="N147" s="173"/>
      <c r="O147" s="19" t="s">
        <v>5</v>
      </c>
      <c r="P147" s="19"/>
      <c r="Q147" s="171" t="str">
        <f>IF(K145="","",
IFERROR(IF(AND(Z145&lt;&gt;MAX(BJ147,BJ149), MAX(BJ147,BJ149)&gt;0),"Bioretention facility to meet Flow Control Standard(s) is "&amp;MAX(BJ147,BJ149)&amp;" sf" &amp;IF(AND(PeakCheck,Z145&gt;BJ149),". "&amp;BI149,"") &amp; CHAR(10),""),"")&amp;
IFERROR(IF(AND(Z145&lt;&gt;BJ145,BJ145&lt;&gt;""),"Bioretention facility to meet WQ Treatment Standard is "&amp;BJ145&amp;" sf",""),""))</f>
        <v/>
      </c>
      <c r="R147" s="171"/>
      <c r="S147" s="171"/>
      <c r="T147" s="171"/>
      <c r="U147" s="171"/>
      <c r="V147" s="171"/>
      <c r="W147" s="171"/>
      <c r="X147" s="171"/>
      <c r="Y147" s="171"/>
      <c r="Z147" s="171"/>
      <c r="AA147" s="171"/>
      <c r="AB147" s="171"/>
      <c r="AC147" s="171"/>
      <c r="AD147" s="171"/>
      <c r="AE147" s="171"/>
      <c r="AF147" s="171"/>
      <c r="AG147" s="171"/>
      <c r="AH147" s="171"/>
      <c r="AI147" s="171"/>
      <c r="AJ147" s="171"/>
      <c r="AK147" s="171"/>
      <c r="AL147" s="160"/>
      <c r="AM147" s="160"/>
      <c r="AN147" s="160"/>
      <c r="AO147" s="160"/>
      <c r="AP147" s="160"/>
      <c r="AQ147" s="160"/>
      <c r="AR147" s="80" t="str">
        <f>IF(WQCheck,"PGHS Area Managed","")</f>
        <v/>
      </c>
      <c r="AS147" s="165"/>
      <c r="AT147" s="81" t="str">
        <f>IF(WQCheck,"=","")</f>
        <v/>
      </c>
      <c r="AU147" s="165"/>
      <c r="AV147" s="207" t="str">
        <f>IFERROR(IF(AND(WQCheck,K147&gt;0),MIN(BH145,K147),""),"")</f>
        <v/>
      </c>
      <c r="AW147" s="207"/>
      <c r="AX147" s="207"/>
      <c r="AY147" s="207"/>
      <c r="AZ147" s="207"/>
      <c r="BA147" s="19" t="str">
        <f>IF(WQCheck,"sf","")</f>
        <v/>
      </c>
      <c r="BB147" s="23"/>
      <c r="BD147" s="24" t="s">
        <v>7</v>
      </c>
      <c r="BE147" s="37" t="e">
        <f>INDEX('Sizing Factors'!$H:$H,MATCH(C143&amp;K151&amp;K149&amp;IF(K149&lt;=6,IF(K145&lt;=2000,"02000",IF(K145&lt;=10000,"200010000","x")),IF(K145&lt;=2700,"02700",IF(K145&lt;=10000,"270010000","x")))&amp;$BD$147,'Sizing Factors'!$L:$L,0))</f>
        <v>#N/A</v>
      </c>
      <c r="BF147" s="37" t="e">
        <f>INDEX('Sizing Factors'!$I:$I,MATCH(C143&amp;K151&amp;K149&amp;IF(K149&lt;=6,IF(K145&lt;=2000,"02000",IF(K145&lt;=10000,"200010000","x")),IF(K145&lt;=2700,"02700",IF(K145&lt;=10000,"270010000","x")))&amp;$BD$147,'Sizing Factors'!$L:$L,0))</f>
        <v>#N/A</v>
      </c>
      <c r="BG147" s="37" t="e">
        <f>IF(BF147=0,
BE147*100&amp;"%",
ABS(BF147)&amp;" ] ÷ "&amp;BE147)</f>
        <v>#N/A</v>
      </c>
      <c r="BH147" s="38" t="str">
        <f>IF(PastureCheck,MAX((Z145-BF147)/BE147,0),"")</f>
        <v/>
      </c>
      <c r="BI147" s="41" t="e">
        <f>IF(K145&gt;10000,"Not applicable for contributing area &gt; 10,000 sf",INDEX('Sizing Factors'!$J:$J,MATCH(C143&amp;K151&amp;K149&amp;IF(K149&lt;=6,IF(K145&lt;=2000,"02000",IF(K145&lt;=10000,"200010000","x")),IF(K145&lt;=2700,"02700",IF(K145&lt;=10000,"270010000","x")))&amp;$BD$147,'Sizing Factors'!$L:$L,0)))</f>
        <v>#N/A</v>
      </c>
      <c r="BJ147" s="37" t="str">
        <f>IF(PastureCheck,ROUNDUP(K145*BE147+BF147,0),"")</f>
        <v/>
      </c>
      <c r="BK147" s="2"/>
      <c r="BL147" s="2"/>
      <c r="BM147" s="2"/>
      <c r="BN147" s="2"/>
      <c r="BO147" s="2"/>
      <c r="BP147" s="2"/>
      <c r="BQ147" s="2"/>
      <c r="BR147" s="2"/>
      <c r="BS147" s="2"/>
      <c r="BT147" s="2"/>
      <c r="BU147" s="2"/>
      <c r="BV147" s="2"/>
      <c r="BW147" s="2"/>
      <c r="BX147" s="2"/>
      <c r="BY147" s="2"/>
      <c r="BZ147" s="2"/>
      <c r="CA147" s="2"/>
      <c r="CB147" s="2"/>
      <c r="CC147" s="2"/>
      <c r="CD147" s="2"/>
      <c r="CE147" s="2"/>
      <c r="CF147" s="2"/>
    </row>
    <row r="148" spans="1:84" ht="3.75" customHeight="1" x14ac:dyDescent="0.2">
      <c r="A148" s="6"/>
      <c r="B148" s="14"/>
      <c r="C148" s="14"/>
      <c r="D148" s="73"/>
      <c r="E148" s="73"/>
      <c r="F148" s="7"/>
      <c r="G148" s="7"/>
      <c r="H148" s="7"/>
      <c r="I148" s="7"/>
      <c r="J148" s="7"/>
      <c r="K148" s="7"/>
      <c r="L148" s="7"/>
      <c r="M148" s="7"/>
      <c r="N148" s="7"/>
      <c r="O148" s="7"/>
      <c r="P148" s="7"/>
      <c r="Q148" s="171"/>
      <c r="R148" s="171"/>
      <c r="S148" s="171"/>
      <c r="T148" s="171"/>
      <c r="U148" s="171"/>
      <c r="V148" s="171"/>
      <c r="W148" s="171"/>
      <c r="X148" s="171"/>
      <c r="Y148" s="171"/>
      <c r="Z148" s="171"/>
      <c r="AA148" s="171"/>
      <c r="AB148" s="171"/>
      <c r="AC148" s="171"/>
      <c r="AD148" s="171"/>
      <c r="AE148" s="171"/>
      <c r="AF148" s="171"/>
      <c r="AG148" s="171"/>
      <c r="AH148" s="171"/>
      <c r="AI148" s="171"/>
      <c r="AJ148" s="171"/>
      <c r="AK148" s="171"/>
      <c r="AL148" s="160"/>
      <c r="AM148" s="160"/>
      <c r="AN148" s="160"/>
      <c r="AO148" s="160"/>
      <c r="AP148" s="160"/>
      <c r="AQ148" s="160"/>
      <c r="AR148" s="160"/>
      <c r="AS148" s="160"/>
      <c r="AT148" s="160"/>
      <c r="AU148" s="160"/>
      <c r="AV148" s="160"/>
      <c r="AW148" s="160"/>
      <c r="AX148" s="160"/>
      <c r="AY148" s="160"/>
      <c r="AZ148" s="160"/>
      <c r="BA148" s="7"/>
      <c r="BB148" s="8"/>
      <c r="BD148" s="24"/>
      <c r="BE148" s="37"/>
      <c r="BF148" s="37"/>
      <c r="BG148" s="37"/>
      <c r="BH148" s="37"/>
      <c r="BI148" s="37"/>
    </row>
    <row r="149" spans="1:84" s="24" customFormat="1" ht="12" customHeight="1" x14ac:dyDescent="0.2">
      <c r="A149" s="18"/>
      <c r="B149" s="20"/>
      <c r="C149" s="20"/>
      <c r="D149" s="76" t="s">
        <v>20</v>
      </c>
      <c r="E149" s="76"/>
      <c r="F149" s="19"/>
      <c r="G149" s="19"/>
      <c r="H149" s="19"/>
      <c r="I149" s="19"/>
      <c r="J149" s="19"/>
      <c r="K149" s="174"/>
      <c r="L149" s="174"/>
      <c r="M149" s="174"/>
      <c r="N149" s="174"/>
      <c r="O149" s="19" t="s">
        <v>44</v>
      </c>
      <c r="P149" s="19"/>
      <c r="Q149" s="171"/>
      <c r="R149" s="171"/>
      <c r="S149" s="171"/>
      <c r="T149" s="171"/>
      <c r="U149" s="171"/>
      <c r="V149" s="171"/>
      <c r="W149" s="171"/>
      <c r="X149" s="171"/>
      <c r="Y149" s="171"/>
      <c r="Z149" s="171"/>
      <c r="AA149" s="171"/>
      <c r="AB149" s="171"/>
      <c r="AC149" s="171"/>
      <c r="AD149" s="171"/>
      <c r="AE149" s="171"/>
      <c r="AF149" s="171"/>
      <c r="AG149" s="171"/>
      <c r="AH149" s="171"/>
      <c r="AI149" s="171"/>
      <c r="AJ149" s="171"/>
      <c r="AK149" s="171"/>
      <c r="AL149" s="160"/>
      <c r="AM149" s="160"/>
      <c r="AN149" s="160"/>
      <c r="AO149" s="160"/>
      <c r="AP149" s="160"/>
      <c r="AQ149" s="160"/>
      <c r="AR149" s="160"/>
      <c r="AS149" s="160"/>
      <c r="AT149" s="160"/>
      <c r="AU149" s="160"/>
      <c r="AV149" s="160"/>
      <c r="AW149" s="160"/>
      <c r="AX149" s="160"/>
      <c r="AY149" s="160"/>
      <c r="AZ149" s="160"/>
      <c r="BA149" s="19"/>
      <c r="BB149" s="23"/>
      <c r="BD149" s="24" t="s">
        <v>71</v>
      </c>
      <c r="BE149" s="37" t="e">
        <f>IF(K145&gt;10000,"NA",INDEX('Sizing Factors'!$H:$H,MATCH(C143&amp;K151&amp;K149&amp;IF(K149&lt;=6,IF(K145&lt;=2000,"02000",IF(K145&lt;=10000,"200010000","x")),IF(K145&lt;=2700,"02700",IF(K145&lt;=10000,"270010000","x")))&amp;$BD$149,'Sizing Factors'!$L:$L,0)))</f>
        <v>#N/A</v>
      </c>
      <c r="BF149" s="37" t="e">
        <f>INDEX('Sizing Factors'!$I:$I,MATCH(C143&amp;K151&amp;K149&amp;IF(K149&lt;=6,IF(K145&lt;=2000,"02000",IF(K145&lt;=10000,"200010000","x")),IF(K145&lt;=2700,"02700",IF(K145&lt;=10000,"270010000","x")))&amp;$BD$149,'Sizing Factors'!$L:$L,0))</f>
        <v>#N/A</v>
      </c>
      <c r="BG149" s="37" t="e">
        <f>IF(BF149=0,
BE149*100&amp;"%",
BF149&amp;" ] ÷ "&amp;BE149)</f>
        <v>#N/A</v>
      </c>
      <c r="BH149" s="38" t="str">
        <f>IF(PeakCheck,(Z145-BF149)/BE149,"")</f>
        <v/>
      </c>
      <c r="BI149" s="41" t="e">
        <f>IF(K145&gt;10000,"Not applicable for contributing area &gt; 10,000 sf",INDEX('Sizing Factors'!$J:$J,MATCH(C143&amp;K151&amp;K149&amp;IF(K149&lt;=6,IF(K145&lt;=2000,"02000",IF(K145&lt;=10000,"200010000","x")),IF(K145&lt;=2700,"02700",IF(K145&lt;=10000,"270010000","x")))&amp;$BD$149,'Sizing Factors'!$L:$L,0)))</f>
        <v>#N/A</v>
      </c>
      <c r="BJ149" s="37" t="str">
        <f>IF(PeakCheck,ROUNDUP(K145*BE149+BF149,0),"")</f>
        <v/>
      </c>
      <c r="BK149" s="2"/>
      <c r="BL149" s="2"/>
      <c r="BM149" s="2"/>
      <c r="BN149" s="2"/>
      <c r="BO149" s="2"/>
      <c r="BP149" s="2"/>
      <c r="BQ149" s="2"/>
      <c r="BR149" s="2"/>
      <c r="BS149" s="2"/>
      <c r="BT149" s="2"/>
      <c r="BU149" s="2"/>
      <c r="BV149" s="2"/>
      <c r="BW149" s="2"/>
      <c r="BX149" s="2"/>
      <c r="BY149" s="2"/>
      <c r="BZ149" s="2"/>
      <c r="CA149" s="2"/>
      <c r="CB149" s="2"/>
      <c r="CC149" s="2"/>
      <c r="CD149" s="2"/>
      <c r="CE149" s="2"/>
      <c r="CF149" s="2"/>
    </row>
    <row r="150" spans="1:84" s="24" customFormat="1" ht="3.75" customHeight="1" x14ac:dyDescent="0.2">
      <c r="A150" s="18"/>
      <c r="B150" s="20"/>
      <c r="C150" s="20"/>
      <c r="D150" s="76"/>
      <c r="E150" s="76"/>
      <c r="F150" s="19"/>
      <c r="G150" s="19"/>
      <c r="H150" s="19"/>
      <c r="I150" s="19"/>
      <c r="J150" s="19"/>
      <c r="K150" s="19"/>
      <c r="L150" s="19"/>
      <c r="M150" s="19"/>
      <c r="N150" s="19"/>
      <c r="O150" s="19"/>
      <c r="P150" s="19"/>
      <c r="Q150" s="171"/>
      <c r="R150" s="171"/>
      <c r="S150" s="171"/>
      <c r="T150" s="171"/>
      <c r="U150" s="171"/>
      <c r="V150" s="171"/>
      <c r="W150" s="171"/>
      <c r="X150" s="171"/>
      <c r="Y150" s="171"/>
      <c r="Z150" s="171"/>
      <c r="AA150" s="171"/>
      <c r="AB150" s="171"/>
      <c r="AC150" s="171"/>
      <c r="AD150" s="171"/>
      <c r="AE150" s="171"/>
      <c r="AF150" s="171"/>
      <c r="AG150" s="171"/>
      <c r="AH150" s="171"/>
      <c r="AI150" s="171"/>
      <c r="AJ150" s="171"/>
      <c r="AK150" s="171"/>
      <c r="AL150" s="160"/>
      <c r="AM150" s="163"/>
      <c r="AN150" s="163"/>
      <c r="AO150" s="163"/>
      <c r="AP150" s="163"/>
      <c r="AQ150" s="163"/>
      <c r="AR150" s="163"/>
      <c r="AS150" s="163"/>
      <c r="AT150" s="163"/>
      <c r="AU150" s="163"/>
      <c r="AV150" s="163"/>
      <c r="AW150" s="163"/>
      <c r="AX150" s="163"/>
      <c r="AY150" s="163"/>
      <c r="AZ150" s="163"/>
      <c r="BA150" s="19"/>
      <c r="BB150" s="23"/>
      <c r="BE150" s="37"/>
      <c r="BF150" s="37"/>
      <c r="BG150" s="37"/>
      <c r="BH150" s="38"/>
      <c r="BI150" s="41"/>
      <c r="BJ150" s="37"/>
      <c r="BK150" s="2"/>
      <c r="BL150" s="2"/>
      <c r="BM150" s="2"/>
      <c r="BN150" s="2"/>
      <c r="BO150" s="2"/>
      <c r="BP150" s="2"/>
      <c r="BQ150" s="2"/>
      <c r="BR150" s="2"/>
      <c r="BS150" s="2"/>
      <c r="BT150" s="2"/>
      <c r="BU150" s="2"/>
      <c r="BV150" s="2"/>
      <c r="BW150" s="2"/>
      <c r="BX150" s="2"/>
      <c r="BY150" s="2"/>
      <c r="BZ150" s="2"/>
      <c r="CA150" s="2"/>
      <c r="CB150" s="2"/>
      <c r="CC150" s="2"/>
      <c r="CD150" s="2"/>
      <c r="CE150" s="2"/>
      <c r="CF150" s="2"/>
    </row>
    <row r="151" spans="1:84" s="24" customFormat="1" x14ac:dyDescent="0.2">
      <c r="A151" s="18"/>
      <c r="B151" s="20"/>
      <c r="C151" s="20"/>
      <c r="D151" s="76" t="s">
        <v>55</v>
      </c>
      <c r="E151" s="76"/>
      <c r="F151" s="19"/>
      <c r="G151" s="19"/>
      <c r="H151" s="19"/>
      <c r="I151" s="19"/>
      <c r="J151" s="19"/>
      <c r="K151" s="174"/>
      <c r="L151" s="174"/>
      <c r="M151" s="174"/>
      <c r="N151" s="174"/>
      <c r="O151" s="19"/>
      <c r="P151" s="19"/>
      <c r="Q151" s="171"/>
      <c r="R151" s="171"/>
      <c r="S151" s="171"/>
      <c r="T151" s="171"/>
      <c r="U151" s="171"/>
      <c r="V151" s="171"/>
      <c r="W151" s="171"/>
      <c r="X151" s="171"/>
      <c r="Y151" s="171"/>
      <c r="Z151" s="171"/>
      <c r="AA151" s="171"/>
      <c r="AB151" s="171"/>
      <c r="AC151" s="171"/>
      <c r="AD151" s="171"/>
      <c r="AE151" s="171"/>
      <c r="AF151" s="171"/>
      <c r="AG151" s="171"/>
      <c r="AH151" s="171"/>
      <c r="AI151" s="171"/>
      <c r="AJ151" s="171"/>
      <c r="AK151" s="171"/>
      <c r="AL151" s="160"/>
      <c r="AM151" s="163"/>
      <c r="AN151" s="163"/>
      <c r="AO151" s="163"/>
      <c r="AP151" s="163"/>
      <c r="AQ151" s="163"/>
      <c r="AR151" s="163"/>
      <c r="AS151" s="163"/>
      <c r="AT151" s="163"/>
      <c r="AU151" s="163"/>
      <c r="AV151" s="163"/>
      <c r="AW151" s="163"/>
      <c r="AX151" s="163"/>
      <c r="AY151" s="163"/>
      <c r="AZ151" s="163"/>
      <c r="BA151" s="19"/>
      <c r="BB151" s="23"/>
      <c r="BE151" s="37"/>
      <c r="BF151" s="37"/>
      <c r="BG151" s="37"/>
      <c r="BH151" s="38"/>
      <c r="BI151" s="41"/>
      <c r="BJ151" s="37"/>
      <c r="BK151" s="2"/>
      <c r="BL151" s="2"/>
      <c r="BM151" s="2"/>
      <c r="BN151" s="2"/>
      <c r="BO151" s="2"/>
      <c r="BP151" s="2"/>
      <c r="BQ151" s="2"/>
      <c r="BR151" s="2"/>
      <c r="BS151" s="2"/>
      <c r="BT151" s="2"/>
      <c r="BU151" s="2"/>
      <c r="BV151" s="2"/>
      <c r="BW151" s="2"/>
      <c r="BX151" s="2"/>
      <c r="BY151" s="2"/>
      <c r="BZ151" s="2"/>
      <c r="CA151" s="2"/>
      <c r="CB151" s="2"/>
      <c r="CC151" s="2"/>
      <c r="CD151" s="2"/>
      <c r="CE151" s="2"/>
      <c r="CF151" s="2"/>
    </row>
    <row r="152" spans="1:84" ht="3.75" customHeight="1" x14ac:dyDescent="0.2">
      <c r="A152" s="6"/>
      <c r="B152" s="14"/>
      <c r="C152" s="14"/>
      <c r="D152" s="73"/>
      <c r="E152" s="73"/>
      <c r="F152" s="7"/>
      <c r="G152" s="7"/>
      <c r="H152" s="7"/>
      <c r="I152" s="7"/>
      <c r="J152" s="7"/>
      <c r="K152" s="7"/>
      <c r="L152" s="7"/>
      <c r="M152" s="7"/>
      <c r="N152" s="7"/>
      <c r="O152" s="7"/>
      <c r="P152" s="7"/>
      <c r="Q152" s="9"/>
      <c r="R152" s="7"/>
      <c r="S152" s="7"/>
      <c r="T152" s="7"/>
      <c r="U152" s="7"/>
      <c r="V152" s="7"/>
      <c r="W152" s="7"/>
      <c r="X152" s="7"/>
      <c r="Y152" s="7"/>
      <c r="Z152" s="7"/>
      <c r="AA152" s="7"/>
      <c r="AB152" s="7"/>
      <c r="AC152" s="7"/>
      <c r="AD152" s="7"/>
      <c r="AE152" s="7"/>
      <c r="AF152" s="7"/>
      <c r="AG152" s="7"/>
      <c r="AH152" s="176" t="str">
        <f>IF(Standard="","Select performance standard",IF(K155="","Enter contributing area",IF(K159="","Select ponding depth",
IFERROR(_xlfn.XLOOKUP(MIN(BH155,BH157,BH159),BH155:BH159,BG155:BG159),
IF(PeakCheck,BI159,IF(PastureCheck,BI157,IF(WQCheck,BI155,"")))))))</f>
        <v>Select performance standard</v>
      </c>
      <c r="AI152" s="176"/>
      <c r="AJ152" s="176"/>
      <c r="AK152" s="176"/>
      <c r="AL152" s="176"/>
      <c r="AM152" s="176"/>
      <c r="AN152" s="176"/>
      <c r="AO152" s="176"/>
      <c r="AP152" s="176"/>
      <c r="AQ152" s="176"/>
      <c r="AR152" s="176"/>
      <c r="AS152" s="7"/>
      <c r="AT152" s="7"/>
      <c r="AU152" s="7"/>
      <c r="AV152" s="7"/>
      <c r="AW152" s="7"/>
      <c r="AX152" s="7"/>
      <c r="AY152" s="7"/>
      <c r="AZ152" s="7"/>
      <c r="BA152" s="7"/>
      <c r="BB152" s="8"/>
      <c r="BD152" s="24"/>
      <c r="BE152" s="24"/>
      <c r="BF152" s="24"/>
      <c r="BG152" s="24"/>
      <c r="BH152" s="24"/>
      <c r="BI152" s="24"/>
      <c r="BK152" s="24"/>
      <c r="BL152" s="24"/>
      <c r="BM152" s="24"/>
      <c r="BN152" s="24"/>
      <c r="BO152" s="24"/>
    </row>
    <row r="153" spans="1:84" ht="12" customHeight="1" x14ac:dyDescent="0.2">
      <c r="A153" s="6"/>
      <c r="B153" s="14"/>
      <c r="C153" s="14" t="s">
        <v>239</v>
      </c>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176"/>
      <c r="AI153" s="176"/>
      <c r="AJ153" s="176"/>
      <c r="AK153" s="176"/>
      <c r="AL153" s="176"/>
      <c r="AM153" s="176"/>
      <c r="AN153" s="176"/>
      <c r="AO153" s="176"/>
      <c r="AP153" s="176"/>
      <c r="AQ153" s="176"/>
      <c r="AR153" s="176"/>
      <c r="AS153" s="7"/>
      <c r="AT153" s="7"/>
      <c r="AU153" s="7"/>
      <c r="AV153" s="7"/>
      <c r="AW153" s="7"/>
      <c r="AX153" s="7"/>
      <c r="AY153" s="7"/>
      <c r="AZ153" s="7"/>
      <c r="BA153" s="7"/>
      <c r="BB153" s="8"/>
      <c r="BD153" s="36" t="str">
        <f>C153</f>
        <v>Non-Infiltrating Soil Cell Bioretention with Underdrain5</v>
      </c>
      <c r="BE153" s="24"/>
      <c r="BF153" s="24"/>
      <c r="BG153" s="24"/>
      <c r="BH153" s="24"/>
      <c r="BI153" s="24"/>
    </row>
    <row r="154" spans="1:84" ht="3.75" customHeight="1" x14ac:dyDescent="0.2">
      <c r="A154" s="6"/>
      <c r="B154" s="14"/>
      <c r="C154" s="14"/>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176"/>
      <c r="AI154" s="176"/>
      <c r="AJ154" s="176"/>
      <c r="AK154" s="176"/>
      <c r="AL154" s="176"/>
      <c r="AM154" s="176"/>
      <c r="AN154" s="176"/>
      <c r="AO154" s="176"/>
      <c r="AP154" s="176"/>
      <c r="AQ154" s="176"/>
      <c r="AR154" s="176"/>
      <c r="AS154" s="7"/>
      <c r="AT154" s="7"/>
      <c r="AU154" s="7"/>
      <c r="AV154" s="7"/>
      <c r="AW154" s="7"/>
      <c r="AX154" s="7"/>
      <c r="AY154" s="7"/>
      <c r="AZ154" s="7"/>
      <c r="BA154" s="7"/>
      <c r="BB154" s="8"/>
      <c r="BD154" s="24"/>
      <c r="BE154" s="24"/>
      <c r="BF154" s="24"/>
      <c r="BG154" s="24"/>
      <c r="BH154" s="24"/>
      <c r="BI154" s="24"/>
    </row>
    <row r="155" spans="1:84" s="24" customFormat="1" x14ac:dyDescent="0.2">
      <c r="A155" s="18"/>
      <c r="B155" s="20"/>
      <c r="C155" s="20"/>
      <c r="D155" s="76" t="s">
        <v>19</v>
      </c>
      <c r="E155" s="76"/>
      <c r="F155" s="19"/>
      <c r="G155" s="19"/>
      <c r="H155" s="19"/>
      <c r="I155" s="19"/>
      <c r="J155" s="19"/>
      <c r="K155" s="173"/>
      <c r="L155" s="173"/>
      <c r="M155" s="173"/>
      <c r="N155" s="173"/>
      <c r="O155" s="19" t="s">
        <v>5</v>
      </c>
      <c r="P155" s="19"/>
      <c r="Q155" s="1" t="s">
        <v>155</v>
      </c>
      <c r="R155" s="19"/>
      <c r="S155" s="19"/>
      <c r="T155" s="19"/>
      <c r="U155" s="19"/>
      <c r="V155" s="19"/>
      <c r="W155" s="19"/>
      <c r="X155" s="19"/>
      <c r="Y155" s="21" t="str">
        <f>IFERROR(IF(AND(#REF!=BG157,BF157&gt;0),"[ ",""),"")</f>
        <v/>
      </c>
      <c r="Z155" s="173"/>
      <c r="AA155" s="173"/>
      <c r="AB155" s="173"/>
      <c r="AC155" s="173"/>
      <c r="AD155" s="19" t="s">
        <v>5</v>
      </c>
      <c r="AE155" s="19"/>
      <c r="AF155" s="22" t="str">
        <f>IFERROR(IF(#REF!=BG155,IF(BF155=0,"÷",IF(BF155&gt;0,"-","+")),
IF(#REF!=BG157,IF(BF157=0,"÷",IF(BF157&gt;0,"-","+")),
IF(#REF!=BG159,IF(BF159=0,"÷",IF(BF159&gt;0,"-","+")),":"))),":")</f>
        <v>:</v>
      </c>
      <c r="AG155" s="19"/>
      <c r="AH155" s="177"/>
      <c r="AI155" s="177"/>
      <c r="AJ155" s="177"/>
      <c r="AK155" s="177"/>
      <c r="AL155" s="177"/>
      <c r="AM155" s="177"/>
      <c r="AN155" s="177"/>
      <c r="AO155" s="177"/>
      <c r="AP155" s="177"/>
      <c r="AQ155" s="177"/>
      <c r="AR155" s="177"/>
      <c r="AS155" s="19"/>
      <c r="AT155" s="22" t="s">
        <v>108</v>
      </c>
      <c r="AU155" s="19"/>
      <c r="AV155" s="183" t="str">
        <f>IF(OR(Standard="",K155=""),"",IFERROR(MIN(IF(Standard=WQ,K157,K155),BH155,BH157,BH159),""))</f>
        <v/>
      </c>
      <c r="AW155" s="183"/>
      <c r="AX155" s="183"/>
      <c r="AY155" s="183"/>
      <c r="AZ155" s="183"/>
      <c r="BA155" s="19" t="s">
        <v>5</v>
      </c>
      <c r="BB155" s="23"/>
      <c r="BD155" s="24" t="s">
        <v>72</v>
      </c>
      <c r="BE155" s="37" t="e">
        <f>INDEX('Sizing Factors'!$H:$H,MATCH(C153&amp;K159&amp;$BD$155,'Sizing Factors'!$L:$L,0))</f>
        <v>#N/A</v>
      </c>
      <c r="BF155" s="37" t="e">
        <f>INDEX('Sizing Factors'!$I:$I,MATCH(C153&amp;K159&amp;$BD$155,'Sizing Factors'!$L:$L,0))</f>
        <v>#N/A</v>
      </c>
      <c r="BG155" s="37" t="e">
        <f>IF(BF155=0,
BE155*100&amp;"%",
ABS(BF155)&amp;" ] ÷ "&amp;BE155)</f>
        <v>#N/A</v>
      </c>
      <c r="BH155" s="38" t="str">
        <f>IF(WQCheck, MAX((Z155-BF155)/BE155,0),"")</f>
        <v/>
      </c>
      <c r="BI155" s="41" t="e">
        <f>IF(K157&gt;10000,"Not applicable for contributing area &gt; 10,000 sf",INDEX('Sizing Factors'!$J:$J,MATCH(C153&amp;K159&amp;$BD$155,'Sizing Factors'!$L:$L,0)))</f>
        <v>#N/A</v>
      </c>
      <c r="BJ155" s="37" t="str">
        <f>IF(WQCheck,ROUNDUP(K157*BE155+BF155,0),"")</f>
        <v/>
      </c>
      <c r="BK155" s="2"/>
      <c r="BL155" s="2"/>
      <c r="BM155" s="2"/>
      <c r="BN155" s="2"/>
      <c r="BO155" s="2"/>
      <c r="BP155" s="2"/>
      <c r="BQ155" s="2"/>
      <c r="BR155" s="2"/>
      <c r="BS155" s="2"/>
      <c r="BT155" s="2"/>
      <c r="BU155" s="2"/>
      <c r="BV155" s="2"/>
      <c r="BW155" s="2"/>
      <c r="BX155" s="2"/>
      <c r="BY155" s="2"/>
      <c r="BZ155" s="2"/>
      <c r="CA155" s="2"/>
      <c r="CB155" s="2"/>
      <c r="CC155" s="2"/>
      <c r="CD155" s="2"/>
      <c r="CE155" s="2"/>
      <c r="CF155" s="2"/>
    </row>
    <row r="156" spans="1:84" ht="3.75" customHeight="1" x14ac:dyDescent="0.2">
      <c r="A156" s="6"/>
      <c r="B156" s="14"/>
      <c r="C156" s="14"/>
      <c r="D156" s="73"/>
      <c r="E156" s="73"/>
      <c r="F156" s="7"/>
      <c r="G156" s="7"/>
      <c r="H156" s="7"/>
      <c r="I156" s="7"/>
      <c r="J156" s="7"/>
      <c r="K156" s="7"/>
      <c r="L156" s="7"/>
      <c r="M156" s="7"/>
      <c r="N156" s="7"/>
      <c r="O156" s="7"/>
      <c r="P156" s="7"/>
      <c r="Q156" s="9"/>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8"/>
      <c r="BD156" s="24"/>
      <c r="BE156" s="24"/>
      <c r="BF156" s="24"/>
      <c r="BG156" s="24"/>
      <c r="BH156" s="24"/>
      <c r="BI156" s="24"/>
    </row>
    <row r="157" spans="1:84" s="24" customFormat="1" ht="12" customHeight="1" x14ac:dyDescent="0.2">
      <c r="A157" s="18"/>
      <c r="B157" s="20"/>
      <c r="C157" s="20"/>
      <c r="D157" s="172" t="s">
        <v>224</v>
      </c>
      <c r="E157" s="172"/>
      <c r="F157" s="172"/>
      <c r="G157" s="172"/>
      <c r="H157" s="172"/>
      <c r="I157" s="172"/>
      <c r="J157" s="172"/>
      <c r="K157" s="173"/>
      <c r="L157" s="173"/>
      <c r="M157" s="173"/>
      <c r="N157" s="173"/>
      <c r="O157" s="19" t="s">
        <v>5</v>
      </c>
      <c r="P157" s="19"/>
      <c r="Q157" s="171" t="str">
        <f>IF(K155="","",
IFERROR(IF(AND(Z155&lt;&gt;MAX(BJ157,BJ159), MAX(BJ157,BJ159)&gt;0),"Soil cell area to meet Flow Control Standard(s) is "&amp;MAX(BJ157,BJ159)&amp;" sf" &amp;IF(AND(PeakCheck,Z155&gt;BJ159),". "&amp;BI159,"")&amp;CHAR(10),""),"")&amp;
IFERROR(IF(AND(Z155&lt;&gt;BJ155,BJ155&lt;&gt;""),"Soil cell area to meet WQ Treatment Standard is "&amp; BJ155&amp;" sf",""),""))</f>
        <v/>
      </c>
      <c r="R157" s="171"/>
      <c r="S157" s="171"/>
      <c r="T157" s="171"/>
      <c r="U157" s="171"/>
      <c r="V157" s="171"/>
      <c r="W157" s="171"/>
      <c r="X157" s="171"/>
      <c r="Y157" s="171"/>
      <c r="Z157" s="171"/>
      <c r="AA157" s="171"/>
      <c r="AB157" s="171"/>
      <c r="AC157" s="171"/>
      <c r="AD157" s="171"/>
      <c r="AE157" s="171"/>
      <c r="AF157" s="171"/>
      <c r="AG157" s="171"/>
      <c r="AH157" s="171"/>
      <c r="AI157" s="171"/>
      <c r="AJ157" s="171"/>
      <c r="AK157" s="171"/>
      <c r="AL157" s="160"/>
      <c r="AM157" s="160"/>
      <c r="AN157" s="160"/>
      <c r="AO157" s="160"/>
      <c r="AP157" s="160"/>
      <c r="AQ157" s="160"/>
      <c r="AR157" s="80" t="str">
        <f>IF(WQCheck,"PGHS Area Managed","")</f>
        <v/>
      </c>
      <c r="AS157" s="165"/>
      <c r="AT157" s="81" t="str">
        <f>IF(WQCheck,"=","")</f>
        <v/>
      </c>
      <c r="AU157" s="165"/>
      <c r="AV157" s="207" t="str">
        <f>IFERROR(IF(AND(WQCheck,K157&gt;0),MIN(BH155,K157),""),"")</f>
        <v/>
      </c>
      <c r="AW157" s="207"/>
      <c r="AX157" s="207"/>
      <c r="AY157" s="207"/>
      <c r="AZ157" s="207"/>
      <c r="BA157" s="19" t="str">
        <f>IF(WQCheck,"sf","")</f>
        <v/>
      </c>
      <c r="BB157" s="23"/>
      <c r="BD157" s="24" t="s">
        <v>7</v>
      </c>
      <c r="BE157" s="37" t="e">
        <f>INDEX('Sizing Factors'!$H:$H,MATCH(C153&amp;K159&amp;$BD$157,'Sizing Factors'!$L:$L,0))</f>
        <v>#N/A</v>
      </c>
      <c r="BF157" s="37" t="e">
        <f>INDEX('Sizing Factors'!$I:$I,MATCH(C153&amp;K159&amp;$BD$157,'Sizing Factors'!$L:$L,0))</f>
        <v>#N/A</v>
      </c>
      <c r="BG157" s="37" t="e">
        <f>IF(BF157=0,
BE157*100&amp;"%",
ABS(BF157)&amp;" ] ÷ "&amp;BE157)</f>
        <v>#N/A</v>
      </c>
      <c r="BH157" s="38" t="str">
        <f>IF(PastureCheck,MAX((Z155-BF157)/BE157,0),"")</f>
        <v/>
      </c>
      <c r="BI157" s="41" t="e">
        <f>IF(K155&gt;10000,"Not applicable for contributing area &gt; 10,000 sf",INDEX('Sizing Factors'!$J:$J,MATCH(C153&amp;K159&amp;$BD$157,'Sizing Factors'!$L:$L,0)))</f>
        <v>#N/A</v>
      </c>
      <c r="BJ157" s="37" t="str">
        <f>IF(PastureCheck,ROUNDUP(K155*BE157+BF157,0),"")</f>
        <v/>
      </c>
      <c r="BK157" s="2"/>
      <c r="BL157" s="2"/>
      <c r="BM157" s="2"/>
      <c r="BN157" s="2"/>
      <c r="BO157" s="2"/>
      <c r="BP157" s="2"/>
      <c r="BQ157" s="2"/>
      <c r="BR157" s="2"/>
      <c r="BS157" s="2"/>
      <c r="BT157" s="2"/>
      <c r="BU157" s="2"/>
      <c r="BV157" s="2"/>
      <c r="BW157" s="2"/>
      <c r="BX157" s="2"/>
      <c r="BY157" s="2"/>
      <c r="BZ157" s="2"/>
      <c r="CA157" s="2"/>
      <c r="CB157" s="2"/>
      <c r="CC157" s="2"/>
      <c r="CD157" s="2"/>
      <c r="CE157" s="2"/>
      <c r="CF157" s="2"/>
    </row>
    <row r="158" spans="1:84" ht="3.75" customHeight="1" x14ac:dyDescent="0.2">
      <c r="A158" s="6"/>
      <c r="B158" s="14"/>
      <c r="C158" s="14"/>
      <c r="D158" s="73"/>
      <c r="E158" s="73"/>
      <c r="F158" s="7"/>
      <c r="G158" s="7"/>
      <c r="H158" s="7"/>
      <c r="I158" s="7"/>
      <c r="J158" s="7"/>
      <c r="K158" s="7"/>
      <c r="L158" s="7"/>
      <c r="M158" s="7"/>
      <c r="N158" s="7"/>
      <c r="O158" s="7"/>
      <c r="P158" s="7"/>
      <c r="Q158" s="171"/>
      <c r="R158" s="171"/>
      <c r="S158" s="171"/>
      <c r="T158" s="171"/>
      <c r="U158" s="171"/>
      <c r="V158" s="171"/>
      <c r="W158" s="171"/>
      <c r="X158" s="171"/>
      <c r="Y158" s="171"/>
      <c r="Z158" s="171"/>
      <c r="AA158" s="171"/>
      <c r="AB158" s="171"/>
      <c r="AC158" s="171"/>
      <c r="AD158" s="171"/>
      <c r="AE158" s="171"/>
      <c r="AF158" s="171"/>
      <c r="AG158" s="171"/>
      <c r="AH158" s="171"/>
      <c r="AI158" s="171"/>
      <c r="AJ158" s="171"/>
      <c r="AK158" s="171"/>
      <c r="AL158" s="160"/>
      <c r="AM158" s="160"/>
      <c r="AN158" s="160"/>
      <c r="AO158" s="160"/>
      <c r="AP158" s="160"/>
      <c r="AQ158" s="160"/>
      <c r="AR158" s="160"/>
      <c r="AS158" s="160"/>
      <c r="AT158" s="160"/>
      <c r="AU158" s="160"/>
      <c r="AV158" s="160"/>
      <c r="AW158" s="160"/>
      <c r="AX158" s="160"/>
      <c r="AY158" s="160"/>
      <c r="AZ158" s="160"/>
      <c r="BA158" s="7"/>
      <c r="BB158" s="8"/>
      <c r="BD158" s="24"/>
      <c r="BE158" s="37"/>
      <c r="BF158" s="37"/>
      <c r="BG158" s="37"/>
      <c r="BH158" s="37"/>
      <c r="BI158" s="37"/>
    </row>
    <row r="159" spans="1:84" ht="12" customHeight="1" x14ac:dyDescent="0.2">
      <c r="A159" s="6"/>
      <c r="B159" s="14"/>
      <c r="C159" s="14"/>
      <c r="D159" s="76" t="s">
        <v>20</v>
      </c>
      <c r="E159" s="76"/>
      <c r="F159" s="19"/>
      <c r="G159" s="19"/>
      <c r="H159" s="19"/>
      <c r="I159" s="19"/>
      <c r="J159" s="19"/>
      <c r="K159" s="174"/>
      <c r="L159" s="174"/>
      <c r="M159" s="174"/>
      <c r="N159" s="174"/>
      <c r="O159" s="19" t="s">
        <v>44</v>
      </c>
      <c r="P159" s="7"/>
      <c r="Q159" s="171"/>
      <c r="R159" s="171"/>
      <c r="S159" s="171"/>
      <c r="T159" s="171"/>
      <c r="U159" s="171"/>
      <c r="V159" s="171"/>
      <c r="W159" s="171"/>
      <c r="X159" s="171"/>
      <c r="Y159" s="171"/>
      <c r="Z159" s="171"/>
      <c r="AA159" s="171"/>
      <c r="AB159" s="171"/>
      <c r="AC159" s="171"/>
      <c r="AD159" s="171"/>
      <c r="AE159" s="171"/>
      <c r="AF159" s="171"/>
      <c r="AG159" s="171"/>
      <c r="AH159" s="171"/>
      <c r="AI159" s="171"/>
      <c r="AJ159" s="171"/>
      <c r="AK159" s="171"/>
      <c r="AL159" s="160"/>
      <c r="AM159" s="160"/>
      <c r="AN159" s="160"/>
      <c r="AO159" s="160"/>
      <c r="AP159" s="160"/>
      <c r="AQ159" s="160"/>
      <c r="AR159" s="160"/>
      <c r="AS159" s="160"/>
      <c r="AT159" s="160"/>
      <c r="AU159" s="160"/>
      <c r="AV159" s="160"/>
      <c r="AW159" s="160"/>
      <c r="AX159" s="160"/>
      <c r="AY159" s="160"/>
      <c r="AZ159" s="160"/>
      <c r="BA159" s="7"/>
      <c r="BB159" s="8"/>
      <c r="BD159" s="24" t="s">
        <v>71</v>
      </c>
      <c r="BE159" s="37" t="e">
        <f>INDEX('Sizing Factors'!$H:$H,MATCH(C153&amp;K159&amp;$BD$159,'Sizing Factors'!$L:$L,0))</f>
        <v>#N/A</v>
      </c>
      <c r="BF159" s="37" t="e">
        <f>INDEX('Sizing Factors'!$I:$I,MATCH(C153&amp;K159&amp;$BD$159,'Sizing Factors'!$L:$L,0))</f>
        <v>#N/A</v>
      </c>
      <c r="BG159" s="37" t="e">
        <f>IF(BF159=0,
BE159*100&amp;"%",
ABS(BF159)&amp;" ] ÷ "&amp;BE159)</f>
        <v>#N/A</v>
      </c>
      <c r="BH159" s="38" t="str">
        <f>IF(PeakCheck,(Z155-BF159)/BE159,"")</f>
        <v/>
      </c>
      <c r="BI159" s="41" t="e">
        <f>IF(K155&gt;10000,"Not applicable for contributing area &gt; 10,000 sf",INDEX('Sizing Factors'!$J:$J,MATCH(C153&amp;K159&amp;$BD$159,'Sizing Factors'!$L:$L,0)))</f>
        <v>#N/A</v>
      </c>
      <c r="BJ159" s="37" t="str">
        <f>IF(PeakCheck,ROUNDUP(K155*BE159+BF159,0),"")</f>
        <v/>
      </c>
      <c r="BK159" s="24"/>
      <c r="BL159" s="24"/>
      <c r="BM159" s="24"/>
      <c r="BN159" s="24"/>
      <c r="BO159" s="24"/>
    </row>
    <row r="160" spans="1:84" ht="7.5" customHeight="1" x14ac:dyDescent="0.2">
      <c r="A160" s="10"/>
      <c r="B160" s="17"/>
      <c r="C160" s="17"/>
      <c r="D160" s="11"/>
      <c r="E160" s="11"/>
      <c r="F160" s="11"/>
      <c r="G160" s="11"/>
      <c r="H160" s="11"/>
      <c r="I160" s="11"/>
      <c r="J160" s="11"/>
      <c r="K160" s="11"/>
      <c r="L160" s="11"/>
      <c r="M160" s="11"/>
      <c r="N160" s="11"/>
      <c r="O160" s="11"/>
      <c r="P160" s="11"/>
      <c r="Q160" s="92"/>
      <c r="R160" s="92"/>
      <c r="S160" s="92"/>
      <c r="T160" s="92"/>
      <c r="U160" s="92"/>
      <c r="V160" s="92"/>
      <c r="W160" s="92"/>
      <c r="X160" s="92"/>
      <c r="Y160" s="92"/>
      <c r="Z160" s="92"/>
      <c r="AA160" s="92"/>
      <c r="AB160" s="92"/>
      <c r="AC160" s="92"/>
      <c r="AD160" s="92"/>
      <c r="AE160" s="92"/>
      <c r="AF160" s="92"/>
      <c r="AG160" s="92"/>
      <c r="AH160" s="92"/>
      <c r="AI160" s="92"/>
      <c r="AJ160" s="92"/>
      <c r="AK160" s="92"/>
      <c r="AL160" s="92"/>
      <c r="AM160" s="92"/>
      <c r="AN160" s="92"/>
      <c r="AO160" s="92"/>
      <c r="AP160" s="92"/>
      <c r="AQ160" s="92"/>
      <c r="AR160" s="92"/>
      <c r="AS160" s="92"/>
      <c r="AT160" s="92"/>
      <c r="AU160" s="92"/>
      <c r="AV160" s="92"/>
      <c r="AW160" s="92"/>
      <c r="AX160" s="92"/>
      <c r="AY160" s="92"/>
      <c r="AZ160" s="92"/>
      <c r="BA160" s="92"/>
      <c r="BB160" s="12"/>
      <c r="BD160" s="24"/>
      <c r="BE160" s="24"/>
      <c r="BF160" s="24"/>
      <c r="BG160" s="24"/>
      <c r="BH160" s="24"/>
      <c r="BI160" s="24"/>
      <c r="BK160" s="24"/>
      <c r="BL160" s="24"/>
      <c r="BM160" s="24"/>
      <c r="BN160" s="24"/>
      <c r="BO160" s="24"/>
    </row>
    <row r="161" spans="1:77" ht="3.75" customHeight="1" x14ac:dyDescent="0.2">
      <c r="A161" s="6"/>
      <c r="B161" s="14"/>
      <c r="C161" s="14"/>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8"/>
      <c r="BD161" s="24"/>
      <c r="BE161" s="24"/>
      <c r="BF161" s="24"/>
      <c r="BG161" s="24"/>
      <c r="BH161" s="24"/>
      <c r="BI161" s="24"/>
      <c r="BK161" s="24"/>
      <c r="BL161" s="24"/>
      <c r="BM161" s="24"/>
      <c r="BN161" s="24"/>
      <c r="BO161" s="24"/>
    </row>
    <row r="162" spans="1:77" x14ac:dyDescent="0.2">
      <c r="A162" s="6"/>
      <c r="B162" s="14"/>
      <c r="C162" s="14"/>
      <c r="D162" s="7"/>
      <c r="E162" s="7"/>
      <c r="F162" s="7"/>
      <c r="G162" s="7"/>
      <c r="H162" s="7"/>
      <c r="I162" s="7"/>
      <c r="J162" s="7"/>
      <c r="K162" s="7"/>
      <c r="L162" s="7"/>
      <c r="M162" s="7"/>
      <c r="N162" s="7"/>
      <c r="O162" s="7"/>
      <c r="P162" s="7"/>
      <c r="Q162" s="7"/>
      <c r="R162" s="7"/>
      <c r="S162" s="7"/>
      <c r="T162" s="7"/>
      <c r="U162" s="7"/>
      <c r="V162" s="7"/>
      <c r="W162" s="7"/>
      <c r="X162" s="7"/>
      <c r="Y162" s="7"/>
      <c r="Z162" s="14"/>
      <c r="AA162" s="14"/>
      <c r="AB162" s="7"/>
      <c r="AC162" s="7"/>
      <c r="AD162" s="7"/>
      <c r="AE162" s="14"/>
      <c r="AF162" s="7"/>
      <c r="AG162" s="7"/>
      <c r="AH162" s="7"/>
      <c r="AI162" s="7"/>
      <c r="AJ162" s="7"/>
      <c r="AK162" s="7"/>
      <c r="AL162" s="7"/>
      <c r="AM162" s="7"/>
      <c r="AN162" s="7"/>
      <c r="AO162" s="7"/>
      <c r="AP162" s="7"/>
      <c r="AQ162" s="7"/>
      <c r="AR162" s="7"/>
      <c r="AS162" s="7"/>
      <c r="AT162" s="48" t="s">
        <v>126</v>
      </c>
      <c r="AU162" s="206">
        <f>IFERROR(SUM(AV32,AV40,AV36,AV48,AV60,AV70,AV80,AV88,AV98,AV106,IF(OR(Standard="",Z106=""),0,Z106),AV116,AV127,AV131,AV137,AV145,AV155),"")</f>
        <v>0</v>
      </c>
      <c r="AV162" s="206"/>
      <c r="AW162" s="206"/>
      <c r="AX162" s="206"/>
      <c r="AY162" s="206"/>
      <c r="AZ162" s="206"/>
      <c r="BA162" s="7" t="s">
        <v>5</v>
      </c>
      <c r="BB162" s="8"/>
      <c r="BL162" s="24"/>
      <c r="BM162" s="24"/>
      <c r="BN162" s="24"/>
      <c r="BO162" s="24"/>
    </row>
    <row r="163" spans="1:77" ht="3.75" customHeight="1" x14ac:dyDescent="0.2">
      <c r="A163" s="10"/>
      <c r="B163" s="17"/>
      <c r="C163" s="17"/>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2"/>
      <c r="BL163" s="24"/>
      <c r="BM163" s="24"/>
      <c r="BN163" s="24"/>
      <c r="BO163" s="24"/>
    </row>
    <row r="164" spans="1:77" s="36" customFormat="1" x14ac:dyDescent="0.2">
      <c r="A164" s="58" t="s">
        <v>27</v>
      </c>
      <c r="B164" s="59"/>
      <c r="C164" s="59"/>
      <c r="D164" s="59"/>
      <c r="E164" s="59"/>
      <c r="F164" s="59"/>
      <c r="G164" s="59"/>
      <c r="H164" s="59"/>
      <c r="I164" s="59"/>
      <c r="J164" s="59"/>
      <c r="K164" s="59"/>
      <c r="L164" s="59"/>
      <c r="M164" s="59"/>
      <c r="N164" s="59"/>
      <c r="O164" s="59"/>
      <c r="P164" s="59"/>
      <c r="Q164" s="61"/>
      <c r="R164" s="61"/>
      <c r="S164" s="61"/>
      <c r="T164" s="61"/>
      <c r="U164" s="61"/>
      <c r="V164" s="61"/>
      <c r="W164" s="61"/>
      <c r="X164" s="61" t="s">
        <v>13</v>
      </c>
      <c r="Y164" s="61"/>
      <c r="Z164" s="61"/>
      <c r="AA164" s="61"/>
      <c r="AB164" s="61"/>
      <c r="AC164" s="61"/>
      <c r="AD164" s="61"/>
      <c r="AE164" s="59"/>
      <c r="AF164" s="59"/>
      <c r="AG164" s="59"/>
      <c r="AH164" s="181" t="s">
        <v>18</v>
      </c>
      <c r="AI164" s="181"/>
      <c r="AJ164" s="181"/>
      <c r="AK164" s="181"/>
      <c r="AL164" s="181"/>
      <c r="AM164" s="181"/>
      <c r="AN164" s="181"/>
      <c r="AO164" s="181"/>
      <c r="AP164" s="181"/>
      <c r="AQ164" s="181"/>
      <c r="AR164" s="181"/>
      <c r="AS164" s="59"/>
      <c r="AT164" s="59"/>
      <c r="AU164" s="59"/>
      <c r="AV164" s="181" t="s">
        <v>14</v>
      </c>
      <c r="AW164" s="181"/>
      <c r="AX164" s="181"/>
      <c r="AY164" s="181"/>
      <c r="AZ164" s="181"/>
      <c r="BA164" s="181"/>
      <c r="BB164" s="60"/>
      <c r="BC164" s="47"/>
      <c r="BL164" s="47"/>
      <c r="BM164" s="47"/>
      <c r="BN164" s="47"/>
      <c r="BO164" s="47"/>
      <c r="BP164" s="47"/>
      <c r="BQ164" s="47"/>
      <c r="BR164" s="47"/>
      <c r="BS164" s="47"/>
      <c r="BT164" s="47"/>
      <c r="BU164" s="47"/>
      <c r="BV164" s="47"/>
      <c r="BW164" s="47"/>
    </row>
    <row r="165" spans="1:77" ht="3.75" customHeight="1" x14ac:dyDescent="0.2">
      <c r="A165" s="6"/>
      <c r="B165" s="14"/>
      <c r="C165" s="14"/>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8"/>
      <c r="BL165" s="24"/>
      <c r="BM165" s="24"/>
      <c r="BN165" s="24"/>
      <c r="BO165" s="24"/>
    </row>
    <row r="166" spans="1:77" ht="12" customHeight="1" x14ac:dyDescent="0.2">
      <c r="A166" s="6"/>
      <c r="B166" s="13" t="s">
        <v>21</v>
      </c>
      <c r="C166" s="14"/>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35"/>
      <c r="AJ166" s="35"/>
      <c r="AK166" s="35"/>
      <c r="AL166" s="35"/>
      <c r="AM166" s="35"/>
      <c r="AN166" s="35"/>
      <c r="AO166" s="35"/>
      <c r="AP166" s="35"/>
      <c r="AQ166" s="35"/>
      <c r="AR166" s="35"/>
      <c r="AS166" s="7"/>
      <c r="AT166" s="7"/>
      <c r="AU166" s="7"/>
      <c r="AV166" s="7"/>
      <c r="AW166" s="7"/>
      <c r="AX166" s="7"/>
      <c r="AY166" s="7"/>
      <c r="AZ166" s="7"/>
      <c r="BA166" s="7"/>
      <c r="BB166" s="8"/>
      <c r="BD166" s="121" t="s">
        <v>79</v>
      </c>
      <c r="BE166" s="122" t="s">
        <v>73</v>
      </c>
      <c r="BF166" s="122" t="s">
        <v>74</v>
      </c>
      <c r="BG166" s="122" t="s">
        <v>78</v>
      </c>
      <c r="BH166" s="122" t="s">
        <v>14</v>
      </c>
      <c r="BI166" s="158" t="s">
        <v>110</v>
      </c>
      <c r="BJ166" s="158" t="s">
        <v>13</v>
      </c>
      <c r="BL166" s="24"/>
      <c r="BM166" s="24"/>
      <c r="BN166" s="24"/>
      <c r="BO166" s="24"/>
      <c r="BX166" s="24"/>
      <c r="BY166" s="24"/>
    </row>
    <row r="167" spans="1:77" ht="3.75" customHeight="1" x14ac:dyDescent="0.2">
      <c r="A167" s="6"/>
      <c r="B167" s="14"/>
      <c r="C167" s="14"/>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35"/>
      <c r="AI167" s="35"/>
      <c r="AJ167" s="35"/>
      <c r="AK167" s="35"/>
      <c r="AL167" s="35"/>
      <c r="AM167" s="35"/>
      <c r="AN167" s="35"/>
      <c r="AO167" s="35"/>
      <c r="AP167" s="35"/>
      <c r="AQ167" s="35"/>
      <c r="AR167" s="35"/>
      <c r="AS167" s="7"/>
      <c r="AT167" s="7"/>
      <c r="AU167" s="7"/>
      <c r="AV167" s="7"/>
      <c r="AW167" s="7"/>
      <c r="AX167" s="7"/>
      <c r="AY167" s="7"/>
      <c r="AZ167" s="7"/>
      <c r="BA167" s="7"/>
      <c r="BB167" s="8"/>
      <c r="BD167" s="24"/>
      <c r="BE167" s="24"/>
      <c r="BF167" s="24"/>
      <c r="BG167" s="24"/>
      <c r="BH167" s="24"/>
      <c r="BI167" s="24"/>
      <c r="BJ167" s="24"/>
      <c r="BL167" s="24"/>
      <c r="BM167" s="24"/>
      <c r="BN167" s="24"/>
      <c r="BO167" s="24"/>
    </row>
    <row r="168" spans="1:77" s="24" customFormat="1" x14ac:dyDescent="0.2">
      <c r="A168" s="6"/>
      <c r="B168" s="14"/>
      <c r="C168" s="14" t="s">
        <v>28</v>
      </c>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176" t="str">
        <f>IF(Standard="","Select performance standard",IF(K170="","Enter contributing area",IF(K174="","Select infiltration rate",
IFERROR(_xlfn.XLOOKUP(MIN(BH170,BH172,BH174),BH170:BH174,BG170:BG174),
IF(PeakCheck,BI174,IF(PastureCheck,BI172,IF(WQCheck,BI170,"")))))))</f>
        <v>Select performance standard</v>
      </c>
      <c r="AI168" s="176"/>
      <c r="AJ168" s="176"/>
      <c r="AK168" s="176"/>
      <c r="AL168" s="176"/>
      <c r="AM168" s="176"/>
      <c r="AN168" s="176"/>
      <c r="AO168" s="176"/>
      <c r="AP168" s="176"/>
      <c r="AQ168" s="176"/>
      <c r="AR168" s="176"/>
      <c r="AS168" s="7"/>
      <c r="AT168" s="7"/>
      <c r="AU168" s="7"/>
      <c r="AV168" s="7"/>
      <c r="AW168" s="7"/>
      <c r="AX168" s="7"/>
      <c r="AY168" s="7"/>
      <c r="AZ168" s="7"/>
      <c r="BA168" s="7"/>
      <c r="BB168" s="8"/>
      <c r="BC168" s="2"/>
      <c r="BD168" s="36" t="str">
        <f>C168</f>
        <v>Infiltration Chamber</v>
      </c>
      <c r="BE168" s="47"/>
      <c r="BF168" s="47"/>
      <c r="BG168" s="47"/>
      <c r="BH168" s="47"/>
      <c r="BI168" s="47"/>
      <c r="BJ168" s="47"/>
      <c r="BP168" s="2"/>
      <c r="BQ168" s="2"/>
      <c r="BR168" s="2"/>
      <c r="BS168" s="2"/>
      <c r="BT168" s="2"/>
      <c r="BU168" s="2"/>
      <c r="BV168" s="2"/>
      <c r="BW168" s="2"/>
      <c r="BX168" s="2"/>
      <c r="BY168" s="2"/>
    </row>
    <row r="169" spans="1:77" ht="3.75" customHeight="1" x14ac:dyDescent="0.2">
      <c r="A169" s="6"/>
      <c r="B169" s="14"/>
      <c r="C169" s="14"/>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176"/>
      <c r="AI169" s="176"/>
      <c r="AJ169" s="176"/>
      <c r="AK169" s="176"/>
      <c r="AL169" s="176"/>
      <c r="AM169" s="176"/>
      <c r="AN169" s="176"/>
      <c r="AO169" s="176"/>
      <c r="AP169" s="176"/>
      <c r="AQ169" s="176"/>
      <c r="AR169" s="176"/>
      <c r="AS169" s="7"/>
      <c r="AT169" s="7"/>
      <c r="AU169" s="7"/>
      <c r="AV169" s="7"/>
      <c r="AW169" s="7"/>
      <c r="AX169" s="7"/>
      <c r="AY169" s="7"/>
      <c r="AZ169" s="7"/>
      <c r="BA169" s="7"/>
      <c r="BB169" s="8"/>
      <c r="BD169" s="24"/>
      <c r="BE169" s="24"/>
      <c r="BF169" s="24"/>
      <c r="BG169" s="24"/>
      <c r="BH169" s="24"/>
      <c r="BI169" s="24"/>
      <c r="BJ169" s="24"/>
      <c r="BL169" s="24"/>
      <c r="BM169" s="24"/>
      <c r="BN169" s="24"/>
      <c r="BO169" s="24"/>
    </row>
    <row r="170" spans="1:77" x14ac:dyDescent="0.2">
      <c r="A170" s="18"/>
      <c r="B170" s="20"/>
      <c r="C170" s="20"/>
      <c r="D170" s="19" t="s">
        <v>19</v>
      </c>
      <c r="E170" s="19"/>
      <c r="F170" s="19"/>
      <c r="G170" s="19"/>
      <c r="H170" s="19"/>
      <c r="I170" s="19"/>
      <c r="J170" s="19"/>
      <c r="K170" s="173"/>
      <c r="L170" s="173"/>
      <c r="M170" s="173"/>
      <c r="N170" s="173"/>
      <c r="O170" s="19" t="s">
        <v>5</v>
      </c>
      <c r="P170" s="19"/>
      <c r="Q170" s="1" t="s">
        <v>58</v>
      </c>
      <c r="R170" s="19"/>
      <c r="S170" s="19"/>
      <c r="T170" s="19"/>
      <c r="U170" s="19"/>
      <c r="V170" s="19"/>
      <c r="W170" s="19"/>
      <c r="X170" s="19"/>
      <c r="Y170" s="21" t="str">
        <f>IFERROR(IF(AND(AH168=BG172,BF172&gt;0),"[ ",""),"")</f>
        <v/>
      </c>
      <c r="Z170" s="173"/>
      <c r="AA170" s="173"/>
      <c r="AB170" s="173"/>
      <c r="AC170" s="173"/>
      <c r="AD170" s="19" t="s">
        <v>5</v>
      </c>
      <c r="AE170" s="19"/>
      <c r="AF170" s="22" t="str">
        <f>IFERROR(
IF(AND(AH168=BG172,BF172&gt;0),"-",
IF(AND(AH168&lt;&gt;BG172,AH168&lt;&gt;BG174),":","÷")),":")</f>
        <v>:</v>
      </c>
      <c r="AG170" s="19"/>
      <c r="AH170" s="177"/>
      <c r="AI170" s="177"/>
      <c r="AJ170" s="177"/>
      <c r="AK170" s="177"/>
      <c r="AL170" s="177"/>
      <c r="AM170" s="177"/>
      <c r="AN170" s="177"/>
      <c r="AO170" s="177"/>
      <c r="AP170" s="177"/>
      <c r="AQ170" s="177"/>
      <c r="AR170" s="177"/>
      <c r="AS170" s="19"/>
      <c r="AT170" s="22" t="s">
        <v>108</v>
      </c>
      <c r="AU170" s="19"/>
      <c r="AV170" s="183" t="str">
        <f>IF(OR(Standard="",K170=""),"",IFERROR(MIN(IF(Standard=WQ,K172,K170),BH170,BH172,BH174),""))</f>
        <v/>
      </c>
      <c r="AW170" s="183"/>
      <c r="AX170" s="183"/>
      <c r="AY170" s="183"/>
      <c r="AZ170" s="183"/>
      <c r="BA170" s="19" t="s">
        <v>5</v>
      </c>
      <c r="BB170" s="23"/>
      <c r="BD170" s="24" t="s">
        <v>72</v>
      </c>
      <c r="BE170" s="37" t="e">
        <f>IF(K172&gt;10000,"NA",INDEX('Sizing Factors'!$H:$H,MATCH(C168&amp;K174&amp;BD$170,'Sizing Factors'!$L:$L,0)))</f>
        <v>#N/A</v>
      </c>
      <c r="BF170" s="37" t="e">
        <f>INDEX('Sizing Factors'!$I:$I,MATCH(C168&amp;K174&amp;BD170,'Sizing Factors'!$L:$L,0))</f>
        <v>#N/A</v>
      </c>
      <c r="BG170" s="37" t="e">
        <f>IF(BF170=0,BE170*100&amp;"%",BF170&amp;" ] ÷ "&amp;BE170)</f>
        <v>#N/A</v>
      </c>
      <c r="BH170" s="38" t="str">
        <f>IF(WQCheck, MAX((Z170-BF170)/BE170,0),"")</f>
        <v/>
      </c>
      <c r="BI170" s="24" t="str">
        <f>IF(K172&gt;10000,"Not applicable for contributing area &gt; 10,000 sf","")</f>
        <v/>
      </c>
      <c r="BJ170" s="37" t="str">
        <f>IF(WQCheck,ROUNDUP(K172*BE170+BF170,0),"")</f>
        <v/>
      </c>
      <c r="BL170" s="24"/>
      <c r="BM170" s="24"/>
      <c r="BN170" s="24"/>
      <c r="BO170" s="24"/>
    </row>
    <row r="171" spans="1:77" ht="3.75" customHeight="1" x14ac:dyDescent="0.2">
      <c r="A171" s="18"/>
      <c r="B171" s="20"/>
      <c r="C171" s="20"/>
      <c r="D171" s="19"/>
      <c r="E171" s="19"/>
      <c r="F171" s="19"/>
      <c r="G171" s="19"/>
      <c r="H171" s="19"/>
      <c r="I171" s="19"/>
      <c r="J171" s="19"/>
      <c r="K171" s="19"/>
      <c r="L171" s="19"/>
      <c r="M171" s="19"/>
      <c r="N171" s="19"/>
      <c r="O171" s="19"/>
      <c r="P171" s="19"/>
      <c r="Q171" s="1"/>
      <c r="R171" s="19"/>
      <c r="S171" s="19"/>
      <c r="T171" s="19"/>
      <c r="U171" s="19"/>
      <c r="V171" s="19"/>
      <c r="W171" s="19"/>
      <c r="X171" s="19"/>
      <c r="Y171" s="21"/>
      <c r="Z171" s="21"/>
      <c r="AA171" s="21"/>
      <c r="AB171" s="21"/>
      <c r="AC171" s="21"/>
      <c r="AD171" s="21"/>
      <c r="AE171" s="21"/>
      <c r="AF171" s="22"/>
      <c r="AG171" s="19"/>
      <c r="AH171" s="43"/>
      <c r="AI171" s="43"/>
      <c r="AJ171" s="43"/>
      <c r="AK171" s="43"/>
      <c r="AL171" s="43"/>
      <c r="AM171" s="43"/>
      <c r="AN171" s="43"/>
      <c r="AO171" s="43"/>
      <c r="AP171" s="43"/>
      <c r="AQ171" s="43"/>
      <c r="AR171" s="43"/>
      <c r="AS171" s="19"/>
      <c r="AT171" s="22"/>
      <c r="AU171" s="19"/>
      <c r="AV171" s="22"/>
      <c r="AW171" s="22"/>
      <c r="AX171" s="22"/>
      <c r="AY171" s="22"/>
      <c r="AZ171" s="22"/>
      <c r="BA171" s="19"/>
      <c r="BB171" s="23"/>
      <c r="BD171" s="24"/>
      <c r="BE171" s="24"/>
      <c r="BF171" s="24"/>
      <c r="BG171" s="24"/>
      <c r="BH171" s="24"/>
      <c r="BI171" s="24"/>
      <c r="BK171" s="24"/>
      <c r="BL171" s="24"/>
      <c r="BM171" s="24"/>
      <c r="BN171" s="24"/>
      <c r="BO171" s="24"/>
    </row>
    <row r="172" spans="1:77" ht="12.75" customHeight="1" x14ac:dyDescent="0.2">
      <c r="A172" s="18"/>
      <c r="B172" s="20"/>
      <c r="C172" s="20"/>
      <c r="D172" s="172" t="s">
        <v>224</v>
      </c>
      <c r="E172" s="172"/>
      <c r="F172" s="172"/>
      <c r="G172" s="172"/>
      <c r="H172" s="172"/>
      <c r="I172" s="172"/>
      <c r="J172" s="172"/>
      <c r="K172" s="173"/>
      <c r="L172" s="173"/>
      <c r="M172" s="173"/>
      <c r="N172" s="173"/>
      <c r="O172" s="19" t="s">
        <v>5</v>
      </c>
      <c r="P172" s="19"/>
      <c r="Q172" s="171" t="str">
        <f>IF(K170="","",
IFERROR(IF(AND(Z170&lt;&gt;MAX(BJ172,BJ174), MAX(BJ172,BJ174)&gt;0),"Infiltration chamber to meet Flow Control Standard(s) is "&amp;MAX(BJ172,BJ174)&amp;" sf" &amp; CHAR(10),""),"")&amp;
IFERROR(IF(AND(Z170&lt;&gt;BJ170,BJ170&lt;&gt;""),"Infiltration chamber to meet WQ Treatment Standards is "&amp;BJ170&amp;" sf",""),""))</f>
        <v/>
      </c>
      <c r="R172" s="171"/>
      <c r="S172" s="171"/>
      <c r="T172" s="171"/>
      <c r="U172" s="171"/>
      <c r="V172" s="171"/>
      <c r="W172" s="171"/>
      <c r="X172" s="171"/>
      <c r="Y172" s="171"/>
      <c r="Z172" s="171"/>
      <c r="AA172" s="171"/>
      <c r="AB172" s="171"/>
      <c r="AC172" s="171"/>
      <c r="AD172" s="171"/>
      <c r="AE172" s="171"/>
      <c r="AF172" s="171"/>
      <c r="AG172" s="171"/>
      <c r="AH172" s="171"/>
      <c r="AI172" s="171"/>
      <c r="AJ172" s="171"/>
      <c r="AK172" s="171"/>
      <c r="AL172" s="91"/>
      <c r="AM172" s="91"/>
      <c r="AN172" s="91"/>
      <c r="AO172" s="91"/>
      <c r="AP172" s="91"/>
      <c r="AQ172" s="91"/>
      <c r="AR172" s="80" t="str">
        <f>IF(WQCheck,"PGHS Area Managed","")</f>
        <v/>
      </c>
      <c r="AS172" s="165"/>
      <c r="AT172" s="81" t="str">
        <f>IF(WQCheck,"=","")</f>
        <v/>
      </c>
      <c r="AU172" s="165"/>
      <c r="AV172" s="207" t="str">
        <f>IFERROR(IF(AND(WQCheck,K172&gt;0),MIN(BH170,K172),""),"")</f>
        <v/>
      </c>
      <c r="AW172" s="207"/>
      <c r="AX172" s="207"/>
      <c r="AY172" s="207"/>
      <c r="AZ172" s="207"/>
      <c r="BA172" s="19" t="str">
        <f>IF(WQCheck,"sf","")</f>
        <v/>
      </c>
      <c r="BB172" s="23"/>
      <c r="BC172" s="24"/>
      <c r="BD172" s="24" t="s">
        <v>7</v>
      </c>
      <c r="BE172" s="37" t="e">
        <f>INDEX('Sizing Factors'!$H:$H,MATCH(C168&amp;K174&amp;IF(K170&lt;=2000,"02000",IF(K170&lt;=10000,"200010000","x"))&amp;BD$172,'Sizing Factors'!$L:$L,0))</f>
        <v>#N/A</v>
      </c>
      <c r="BF172" s="37" t="e">
        <f>INDEX('Sizing Factors'!$I:$I,MATCH(C168&amp;K174&amp;IF(K170&lt;=2000,"02000",IF(K170&lt;=10000,"200010000","x"))&amp;BD172,'Sizing Factors'!$L:$L,0))</f>
        <v>#N/A</v>
      </c>
      <c r="BG172" s="37" t="e">
        <f>IF(BF172=0,BE172*100&amp;"%",BF172&amp;" ] ÷ "&amp;BE172)</f>
        <v>#N/A</v>
      </c>
      <c r="BH172" s="38" t="str">
        <f>IF(PastureCheck,MAX(($Z$170-$BF$172)/$BE$172,0),"")</f>
        <v/>
      </c>
      <c r="BI172" s="41" t="str">
        <f>IF(K170&gt;10000,"Not applicable for contributing area &gt; 10,000 sf","")</f>
        <v/>
      </c>
      <c r="BJ172" s="37" t="str">
        <f>IF(PastureCheck,ROUNDUP(K170*BE172+BF172,0),"")</f>
        <v/>
      </c>
      <c r="BK172" s="24"/>
      <c r="BL172" s="24"/>
      <c r="BM172" s="24"/>
      <c r="BN172" s="24"/>
      <c r="BO172" s="24"/>
      <c r="BP172" s="24"/>
      <c r="BQ172" s="24"/>
      <c r="BR172" s="24"/>
      <c r="BS172" s="24"/>
      <c r="BT172" s="24"/>
      <c r="BU172" s="24"/>
      <c r="BV172" s="24"/>
      <c r="BW172" s="24"/>
    </row>
    <row r="173" spans="1:77" ht="3.75" customHeight="1" x14ac:dyDescent="0.2">
      <c r="A173" s="18"/>
      <c r="B173" s="20"/>
      <c r="C173" s="20"/>
      <c r="D173" s="76"/>
      <c r="E173" s="19"/>
      <c r="F173" s="19"/>
      <c r="G173" s="19"/>
      <c r="H173" s="19"/>
      <c r="I173" s="19"/>
      <c r="J173" s="19"/>
      <c r="K173" s="19"/>
      <c r="L173" s="19"/>
      <c r="M173" s="19"/>
      <c r="N173" s="19"/>
      <c r="O173" s="19"/>
      <c r="P173" s="19"/>
      <c r="Q173" s="171"/>
      <c r="R173" s="171"/>
      <c r="S173" s="171"/>
      <c r="T173" s="171"/>
      <c r="U173" s="171"/>
      <c r="V173" s="171"/>
      <c r="W173" s="171"/>
      <c r="X173" s="171"/>
      <c r="Y173" s="171"/>
      <c r="Z173" s="171"/>
      <c r="AA173" s="171"/>
      <c r="AB173" s="171"/>
      <c r="AC173" s="171"/>
      <c r="AD173" s="171"/>
      <c r="AE173" s="171"/>
      <c r="AF173" s="171"/>
      <c r="AG173" s="171"/>
      <c r="AH173" s="171"/>
      <c r="AI173" s="171"/>
      <c r="AJ173" s="171"/>
      <c r="AK173" s="171"/>
      <c r="AL173" s="162"/>
      <c r="AM173" s="162"/>
      <c r="AN173" s="162"/>
      <c r="AO173" s="162"/>
      <c r="AP173" s="162"/>
      <c r="AQ173" s="162"/>
      <c r="AR173" s="162"/>
      <c r="AS173" s="162"/>
      <c r="AT173" s="162"/>
      <c r="AU173" s="162"/>
      <c r="AV173" s="162"/>
      <c r="AW173" s="162"/>
      <c r="AX173" s="162"/>
      <c r="AY173" s="162"/>
      <c r="AZ173" s="162"/>
      <c r="BA173" s="160"/>
      <c r="BB173" s="23"/>
      <c r="BC173" s="24"/>
      <c r="BD173" s="24"/>
      <c r="BE173" s="37"/>
      <c r="BF173" s="37"/>
      <c r="BG173" s="37"/>
      <c r="BH173" s="37"/>
      <c r="BI173" s="37"/>
      <c r="BK173" s="24"/>
      <c r="BL173" s="24"/>
      <c r="BM173" s="24"/>
      <c r="BN173" s="24"/>
      <c r="BO173" s="24"/>
      <c r="BP173" s="24"/>
      <c r="BQ173" s="24"/>
      <c r="BR173" s="24"/>
      <c r="BS173" s="24"/>
      <c r="BT173" s="24"/>
      <c r="BU173" s="24"/>
      <c r="BV173" s="24"/>
      <c r="BW173" s="24"/>
    </row>
    <row r="174" spans="1:77" ht="12.75" customHeight="1" x14ac:dyDescent="0.2">
      <c r="A174" s="18"/>
      <c r="B174" s="20"/>
      <c r="C174" s="20"/>
      <c r="D174" s="76" t="s">
        <v>138</v>
      </c>
      <c r="E174" s="19"/>
      <c r="F174" s="19"/>
      <c r="G174" s="19"/>
      <c r="H174" s="19"/>
      <c r="I174" s="19"/>
      <c r="J174" s="19"/>
      <c r="K174" s="174"/>
      <c r="L174" s="174"/>
      <c r="M174" s="174"/>
      <c r="N174" s="174"/>
      <c r="O174" s="19" t="s">
        <v>44</v>
      </c>
      <c r="P174" s="19"/>
      <c r="Q174" s="171"/>
      <c r="R174" s="171"/>
      <c r="S174" s="171"/>
      <c r="T174" s="171"/>
      <c r="U174" s="171"/>
      <c r="V174" s="171"/>
      <c r="W174" s="171"/>
      <c r="X174" s="171"/>
      <c r="Y174" s="171"/>
      <c r="Z174" s="171"/>
      <c r="AA174" s="171"/>
      <c r="AB174" s="171"/>
      <c r="AC174" s="171"/>
      <c r="AD174" s="171"/>
      <c r="AE174" s="171"/>
      <c r="AF174" s="171"/>
      <c r="AG174" s="171"/>
      <c r="AH174" s="171"/>
      <c r="AI174" s="171"/>
      <c r="AJ174" s="171"/>
      <c r="AK174" s="171"/>
      <c r="AL174" s="162"/>
      <c r="AM174" s="162"/>
      <c r="AN174" s="162"/>
      <c r="AO174" s="162"/>
      <c r="AP174" s="162"/>
      <c r="AQ174" s="162"/>
      <c r="AR174" s="162"/>
      <c r="AS174" s="162"/>
      <c r="AT174" s="162"/>
      <c r="AU174" s="162"/>
      <c r="AV174" s="162"/>
      <c r="AW174" s="162"/>
      <c r="AX174" s="162"/>
      <c r="AY174" s="162"/>
      <c r="AZ174" s="162"/>
      <c r="BA174" s="160"/>
      <c r="BB174" s="23"/>
      <c r="BC174" s="24"/>
      <c r="BD174" s="24" t="s">
        <v>71</v>
      </c>
      <c r="BE174" s="37" t="e">
        <f>IF(K170&gt;10000,"NA",INDEX('Sizing Factors'!$H:$H,MATCH(C168&amp;K174&amp;BD$174,'Sizing Factors'!$L:$L,0)))</f>
        <v>#N/A</v>
      </c>
      <c r="BF174" s="37" t="e">
        <f>INDEX('Sizing Factors'!$I:$I,MATCH(C168&amp;K174&amp;BD174,'Sizing Factors'!$L:$L,0))</f>
        <v>#N/A</v>
      </c>
      <c r="BG174" s="37" t="e">
        <f>IF(BF174=0,BE174*100&amp;"%",BF174&amp;" ] ÷ "&amp;BE174)</f>
        <v>#N/A</v>
      </c>
      <c r="BH174" s="38" t="str">
        <f>IF(PeakCheck,MAX(($Z$170-$BF$174)/$BE$174,0),"")</f>
        <v/>
      </c>
      <c r="BI174" s="41" t="str">
        <f>IF(K170&gt;10000,"Not applicable for contributing area &gt; 10,000 sf","")</f>
        <v/>
      </c>
      <c r="BJ174" s="37" t="str">
        <f>IF(PeakCheck,ROUNDUP(K170*BE174+BF174,0),"")</f>
        <v/>
      </c>
      <c r="BK174" s="24"/>
      <c r="BL174" s="24"/>
      <c r="BM174" s="24"/>
      <c r="BN174" s="24"/>
      <c r="BO174" s="24"/>
      <c r="BP174" s="24"/>
      <c r="BQ174" s="24"/>
      <c r="BR174" s="24"/>
      <c r="BS174" s="24"/>
      <c r="BT174" s="24"/>
      <c r="BU174" s="24"/>
      <c r="BV174" s="24"/>
      <c r="BW174" s="24"/>
    </row>
    <row r="175" spans="1:77" ht="3.75" customHeight="1" x14ac:dyDescent="0.2">
      <c r="A175" s="6"/>
      <c r="B175" s="14"/>
      <c r="C175" s="14"/>
      <c r="D175" s="7"/>
      <c r="E175" s="7"/>
      <c r="F175" s="7"/>
      <c r="G175" s="7"/>
      <c r="H175" s="7"/>
      <c r="I175" s="7"/>
      <c r="J175" s="7"/>
      <c r="K175" s="7"/>
      <c r="L175" s="7"/>
      <c r="M175" s="7"/>
      <c r="N175" s="7"/>
      <c r="O175" s="7"/>
      <c r="P175" s="7"/>
      <c r="Q175" s="160"/>
      <c r="R175" s="160"/>
      <c r="S175" s="160"/>
      <c r="T175" s="160"/>
      <c r="U175" s="160"/>
      <c r="V175" s="160"/>
      <c r="W175" s="160"/>
      <c r="X175" s="160"/>
      <c r="Y175" s="160"/>
      <c r="Z175" s="160"/>
      <c r="AA175" s="160"/>
      <c r="AB175" s="160"/>
      <c r="AC175" s="160"/>
      <c r="AD175" s="160"/>
      <c r="AE175" s="160"/>
      <c r="AF175" s="160"/>
      <c r="AG175" s="160"/>
      <c r="AH175" s="160"/>
      <c r="AI175" s="160"/>
      <c r="AJ175" s="160"/>
      <c r="AK175" s="160"/>
      <c r="AL175" s="160"/>
      <c r="AM175" s="160"/>
      <c r="AN175" s="160"/>
      <c r="AO175" s="160"/>
      <c r="AP175" s="160"/>
      <c r="AQ175" s="160"/>
      <c r="AR175" s="160"/>
      <c r="AS175" s="160"/>
      <c r="AT175" s="160"/>
      <c r="AU175" s="160"/>
      <c r="AV175" s="160"/>
      <c r="AW175" s="160"/>
      <c r="AX175" s="160"/>
      <c r="AY175" s="160"/>
      <c r="AZ175" s="160"/>
      <c r="BA175" s="160"/>
      <c r="BB175" s="8"/>
      <c r="BD175" s="24"/>
      <c r="BE175" s="24"/>
      <c r="BF175" s="24"/>
      <c r="BG175" s="24"/>
      <c r="BH175" s="24"/>
      <c r="BI175" s="24"/>
      <c r="BK175" s="24"/>
      <c r="BL175" s="24"/>
      <c r="BM175" s="24"/>
      <c r="BN175" s="24"/>
      <c r="BO175" s="24"/>
    </row>
    <row r="176" spans="1:77" x14ac:dyDescent="0.2">
      <c r="A176" s="6"/>
      <c r="B176" s="13" t="s">
        <v>31</v>
      </c>
      <c r="C176" s="14"/>
      <c r="D176" s="7"/>
      <c r="E176" s="7"/>
      <c r="F176" s="7"/>
      <c r="G176" s="7"/>
      <c r="H176" s="7"/>
      <c r="I176" s="7"/>
      <c r="J176" s="7"/>
      <c r="K176" s="164" t="str">
        <f>IF(WQCheck,"(does not meet WQ Treatment Standard)","")</f>
        <v/>
      </c>
      <c r="L176" s="7"/>
      <c r="M176" s="7"/>
      <c r="N176" s="7"/>
      <c r="O176" s="7"/>
      <c r="P176" s="7"/>
      <c r="Q176" s="160"/>
      <c r="R176" s="160"/>
      <c r="S176" s="160"/>
      <c r="T176" s="160"/>
      <c r="U176" s="160"/>
      <c r="V176" s="160"/>
      <c r="W176" s="160"/>
      <c r="X176" s="160"/>
      <c r="Y176" s="160"/>
      <c r="Z176" s="160"/>
      <c r="AA176" s="160"/>
      <c r="AB176" s="160"/>
      <c r="AC176" s="160"/>
      <c r="AD176" s="160"/>
      <c r="AE176" s="160"/>
      <c r="AF176" s="160"/>
      <c r="AG176" s="160"/>
      <c r="AH176" s="160"/>
      <c r="AI176" s="160"/>
      <c r="AJ176" s="160"/>
      <c r="AK176" s="160"/>
      <c r="AL176" s="160"/>
      <c r="AM176" s="160"/>
      <c r="AN176" s="160"/>
      <c r="AO176" s="160"/>
      <c r="AP176" s="160"/>
      <c r="AQ176" s="160"/>
      <c r="AR176" s="160"/>
      <c r="AS176" s="160"/>
      <c r="AT176" s="160"/>
      <c r="AU176" s="160"/>
      <c r="AV176" s="160"/>
      <c r="AW176" s="160"/>
      <c r="AX176" s="160"/>
      <c r="AY176" s="160"/>
      <c r="AZ176" s="160"/>
      <c r="BA176" s="160"/>
      <c r="BB176" s="8"/>
      <c r="BD176" s="36" t="str">
        <f>C178</f>
        <v>Detention Pipe</v>
      </c>
      <c r="BE176" s="87"/>
      <c r="BF176" s="87"/>
      <c r="BG176" s="87"/>
      <c r="BH176" s="87"/>
      <c r="BI176" s="87"/>
      <c r="BJ176" s="158" t="s">
        <v>221</v>
      </c>
      <c r="BK176" s="159" t="s">
        <v>222</v>
      </c>
      <c r="BL176" s="24"/>
      <c r="BM176" s="24"/>
      <c r="BN176" s="24"/>
      <c r="BO176" s="24"/>
      <c r="BX176" s="24"/>
      <c r="BY176" s="24"/>
    </row>
    <row r="177" spans="1:84" ht="3.75" customHeight="1" x14ac:dyDescent="0.2">
      <c r="A177" s="6"/>
      <c r="B177" s="14"/>
      <c r="C177" s="14"/>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8"/>
      <c r="BD177" s="86"/>
      <c r="BE177" s="86"/>
      <c r="BF177" s="86"/>
      <c r="BG177" s="86"/>
      <c r="BH177" s="86"/>
      <c r="BI177" s="86"/>
      <c r="BJ177" s="87"/>
      <c r="BK177" s="86"/>
      <c r="BL177" s="24"/>
      <c r="BM177" s="24"/>
      <c r="BN177" s="24"/>
      <c r="BO177" s="24"/>
    </row>
    <row r="178" spans="1:84" s="24" customFormat="1" x14ac:dyDescent="0.2">
      <c r="A178" s="6"/>
      <c r="B178" s="14"/>
      <c r="C178" s="14" t="s">
        <v>32</v>
      </c>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176" t="str">
        <f>IF(Standard="","Select performance standard",
IF(Standard=WQ, "NA to WQ Treatment Standard",
IF(K180="","Enter contributing area",IF(K182="","Select pipe diameter",
IF(AND(PastureCheck,NOT(PeakCheck)),IFERROR(BG178,BI178),
IF(AND(NOT(PastureCheck),PeakCheck),IFERROR(BG180,BI180),
IFERROR(IF(BH178&lt;BH180,BG178,BG180),BI178)))))))</f>
        <v>Select performance standard</v>
      </c>
      <c r="AI178" s="176"/>
      <c r="AJ178" s="176"/>
      <c r="AK178" s="176"/>
      <c r="AL178" s="176"/>
      <c r="AM178" s="176"/>
      <c r="AN178" s="176"/>
      <c r="AO178" s="176"/>
      <c r="AP178" s="176"/>
      <c r="AQ178" s="176"/>
      <c r="AR178" s="176"/>
      <c r="AS178" s="7"/>
      <c r="AT178" s="7"/>
      <c r="AU178" s="7"/>
      <c r="AV178" s="7"/>
      <c r="AW178" s="7"/>
      <c r="AX178" s="7"/>
      <c r="AY178" s="7"/>
      <c r="AZ178" s="7"/>
      <c r="BA178" s="7"/>
      <c r="BB178" s="8"/>
      <c r="BC178" s="2"/>
      <c r="BD178" s="86" t="s">
        <v>7</v>
      </c>
      <c r="BE178" s="87" t="e">
        <f>INDEX('Sizing Factors'!$H:$H,MATCH($C$178&amp;$K$182&amp;$BK$178&amp;$BD$178,'Sizing Factors'!$L:$L,0))</f>
        <v>#N/A</v>
      </c>
      <c r="BF178" s="87" t="e">
        <f>INDEX('Sizing Factors'!$I:$I,MATCH($C$178&amp;$K$182&amp;BK178&amp;$BD$178,'Sizing Factors'!$L:$L,0))</f>
        <v>#N/A</v>
      </c>
      <c r="BG178" s="87" t="e">
        <f>IF(BF178=0,BE178*100&amp;"%",BF178&amp;" ] ÷ "&amp;BE178)</f>
        <v>#N/A</v>
      </c>
      <c r="BH178" s="88" t="e">
        <f>MAX((Z180-BF178)/BE178,0)</f>
        <v>#N/A</v>
      </c>
      <c r="BI178" s="89" t="str">
        <f>IF(K180&gt;10000,"Not applicable for contributing area &gt; 10,000 sf",IF(K180&lt;2000,"Not applicable for contributing area &lt; 2,000 sf",
INDEX('Sizing Factors'!$J:$J,MATCH($C$178&amp;$K$182&amp;$BK$178&amp;BD178,'Sizing Factors'!$L:$L,0))))</f>
        <v>Not applicable for contributing area &lt; 2,000 sf</v>
      </c>
      <c r="BJ178" s="87" t="e">
        <f>INDEX('Sizing Factors'!$K:$K,MATCH($C$178&amp;$K$182&amp;BK178&amp;$BD$178,'Sizing Factors'!$L:$L,0))</f>
        <v>#N/A</v>
      </c>
      <c r="BK178" s="86" t="str">
        <f>IF($K$180&lt;2000,"NA",IF($K$180&lt;5000,"20005000",IF($K$180&lt;=10000,"500010000","x")))</f>
        <v>NA</v>
      </c>
      <c r="BX178" s="2"/>
      <c r="BY178" s="2"/>
    </row>
    <row r="179" spans="1:84" ht="3.75" customHeight="1" x14ac:dyDescent="0.2">
      <c r="A179" s="6"/>
      <c r="B179" s="14"/>
      <c r="C179" s="14"/>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176"/>
      <c r="AI179" s="176"/>
      <c r="AJ179" s="176"/>
      <c r="AK179" s="176"/>
      <c r="AL179" s="176"/>
      <c r="AM179" s="176"/>
      <c r="AN179" s="176"/>
      <c r="AO179" s="176"/>
      <c r="AP179" s="176"/>
      <c r="AQ179" s="176"/>
      <c r="AR179" s="176"/>
      <c r="AS179" s="7"/>
      <c r="AT179" s="7"/>
      <c r="AU179" s="7"/>
      <c r="AV179" s="7"/>
      <c r="AW179" s="7"/>
      <c r="AX179" s="7"/>
      <c r="AY179" s="7"/>
      <c r="AZ179" s="7"/>
      <c r="BA179" s="7"/>
      <c r="BB179" s="8"/>
      <c r="BD179" s="86"/>
      <c r="BE179" s="87"/>
      <c r="BF179" s="87"/>
      <c r="BG179" s="87"/>
      <c r="BH179" s="87"/>
      <c r="BI179" s="87"/>
      <c r="BJ179" s="87"/>
      <c r="BK179" s="86"/>
      <c r="BL179" s="24"/>
      <c r="BM179" s="24"/>
      <c r="BN179" s="24"/>
      <c r="BO179" s="24"/>
      <c r="BP179" s="24"/>
      <c r="BQ179" s="24"/>
      <c r="BR179" s="24"/>
      <c r="BS179" s="24"/>
      <c r="BT179" s="24"/>
      <c r="BU179" s="24"/>
      <c r="BV179" s="24"/>
      <c r="BW179" s="24"/>
    </row>
    <row r="180" spans="1:84" x14ac:dyDescent="0.2">
      <c r="A180" s="18"/>
      <c r="B180" s="20"/>
      <c r="C180" s="20"/>
      <c r="D180" s="19" t="s">
        <v>19</v>
      </c>
      <c r="E180" s="19"/>
      <c r="F180" s="19"/>
      <c r="G180" s="19"/>
      <c r="H180" s="19"/>
      <c r="I180" s="19"/>
      <c r="J180" s="19"/>
      <c r="K180" s="173"/>
      <c r="L180" s="173"/>
      <c r="M180" s="173"/>
      <c r="N180" s="173"/>
      <c r="O180" s="19" t="s">
        <v>5</v>
      </c>
      <c r="P180" s="19"/>
      <c r="Q180" s="1" t="s">
        <v>60</v>
      </c>
      <c r="R180" s="19"/>
      <c r="S180" s="19"/>
      <c r="T180" s="19"/>
      <c r="U180" s="19"/>
      <c r="V180" s="19"/>
      <c r="W180" s="19"/>
      <c r="X180" s="19"/>
      <c r="Y180" s="21" t="str">
        <f>IFERROR(IF(AF180=":","",IF(OR(AH178=BG178,AH178=BG180),"[ ","")),"[")</f>
        <v/>
      </c>
      <c r="Z180" s="173"/>
      <c r="AA180" s="173"/>
      <c r="AB180" s="173"/>
      <c r="AC180" s="173"/>
      <c r="AD180" s="19" t="s">
        <v>46</v>
      </c>
      <c r="AE180" s="19"/>
      <c r="AF180" s="22" t="str">
        <f>IFERROR(
IF(AND(AH178=BG180,BF180&gt;0),"-",
IF(AND(AH178=BG178,BF178&gt;0),"-",
IF(AND(AH178&lt;&gt;BG178,AH178&lt;&gt;BG180),":","-"))),":")</f>
        <v>:</v>
      </c>
      <c r="AG180" s="19"/>
      <c r="AH180" s="177"/>
      <c r="AI180" s="177"/>
      <c r="AJ180" s="177"/>
      <c r="AK180" s="177"/>
      <c r="AL180" s="177"/>
      <c r="AM180" s="177"/>
      <c r="AN180" s="177"/>
      <c r="AO180" s="177"/>
      <c r="AP180" s="177"/>
      <c r="AQ180" s="177"/>
      <c r="AR180" s="177"/>
      <c r="AS180" s="19"/>
      <c r="AT180" s="22" t="str">
        <f>IF(AF180="=","A=","=")</f>
        <v>=</v>
      </c>
      <c r="AU180" s="19"/>
      <c r="AV180" s="183" t="str">
        <f>IFERROR(IF(AND(PastureCheck,NOT(PeakCheck)),MIN(K180,BH178),IF(AND(NOT(PastureCheck),PeakCheck),MIN(K180,BH180),IF(AND(PastureCheck,PeakCheck),MIN(K180,BH178,BH180),""))),"")</f>
        <v/>
      </c>
      <c r="AW180" s="183"/>
      <c r="AX180" s="183"/>
      <c r="AY180" s="183"/>
      <c r="AZ180" s="183"/>
      <c r="BA180" s="19" t="s">
        <v>5</v>
      </c>
      <c r="BB180" s="23"/>
      <c r="BC180" s="24"/>
      <c r="BD180" s="86" t="s">
        <v>71</v>
      </c>
      <c r="BE180" s="87" t="e">
        <f>INDEX('Sizing Factors'!$H:$H,MATCH($C$178&amp;$K$182&amp;BK180&amp;$BD$180,'Sizing Factors'!$L:$L,0))</f>
        <v>#N/A</v>
      </c>
      <c r="BF180" s="87" t="e">
        <f>INDEX('Sizing Factors'!$I:$I,MATCH($C$178&amp;$K$182&amp;BK180&amp;$BD$180,'Sizing Factors'!$L:$L,0))</f>
        <v>#N/A</v>
      </c>
      <c r="BG180" s="87" t="e">
        <f>IF(BF180=0,BE180*100&amp;"%",BF180&amp;" ] ÷ "&amp;BE180)</f>
        <v>#N/A</v>
      </c>
      <c r="BH180" s="88" t="e">
        <f>MAX((Z180-BF180)/BE180,0)</f>
        <v>#N/A</v>
      </c>
      <c r="BI180" s="89" t="str">
        <f>IF(K180&gt;10000,"Not applicable for contributing area &gt; 10,000 sf",
IF(K180&lt;2000,"Not applicable for contributing area &lt; 2,000 sf",
INDEX('Sizing Factors'!$J:$J,MATCH($C$178&amp;$K$182&amp;$BK$180&amp;BD180,'Sizing Factors'!$L:$L,0))))</f>
        <v>Not applicable for contributing area &lt; 2,000 sf</v>
      </c>
      <c r="BJ180" s="87" t="e">
        <f>INDEX('Sizing Factors'!$K:$K,MATCH($C$178&amp;$K$182&amp;BK180&amp;$BD$180,'Sizing Factors'!$L:$L,0))</f>
        <v>#N/A</v>
      </c>
      <c r="BK180" s="86" t="str">
        <f>IF($K$180&lt;2000,"NA",IF($K$180&lt;=6000,"20006000",IF($K$180&lt;=7000,"60007000",IF($K$180&lt;=8500,"70008500",IF($K$180&lt;=10000,"850010000","x")))))</f>
        <v>NA</v>
      </c>
      <c r="BL180" s="24"/>
      <c r="BM180" s="24"/>
      <c r="BN180" s="24"/>
      <c r="BO180" s="24"/>
      <c r="BP180" s="24"/>
      <c r="BQ180" s="24"/>
      <c r="BR180" s="24"/>
      <c r="BS180" s="24"/>
      <c r="BT180" s="24"/>
      <c r="BU180" s="24"/>
      <c r="BV180" s="24"/>
      <c r="BW180" s="24"/>
    </row>
    <row r="181" spans="1:84" ht="3.75" customHeight="1" x14ac:dyDescent="0.2">
      <c r="A181" s="18"/>
      <c r="B181" s="20"/>
      <c r="C181" s="20"/>
      <c r="D181" s="19"/>
      <c r="E181" s="19"/>
      <c r="F181" s="19"/>
      <c r="G181" s="19"/>
      <c r="H181" s="19"/>
      <c r="I181" s="19"/>
      <c r="J181" s="19"/>
      <c r="K181" s="19"/>
      <c r="L181" s="19"/>
      <c r="M181" s="19"/>
      <c r="N181" s="19"/>
      <c r="O181" s="19"/>
      <c r="P181" s="19"/>
      <c r="Q181" s="1"/>
      <c r="R181" s="19"/>
      <c r="S181" s="19"/>
      <c r="T181" s="19"/>
      <c r="U181" s="19"/>
      <c r="V181" s="19"/>
      <c r="W181" s="19"/>
      <c r="X181" s="19"/>
      <c r="Y181" s="19"/>
      <c r="Z181" s="19"/>
      <c r="AA181" s="19"/>
      <c r="AB181" s="19"/>
      <c r="AC181" s="19"/>
      <c r="AD181" s="19"/>
      <c r="AE181" s="19"/>
      <c r="AF181" s="22"/>
      <c r="AG181" s="19"/>
      <c r="AH181" s="43"/>
      <c r="AI181" s="43"/>
      <c r="AJ181" s="43"/>
      <c r="AK181" s="43"/>
      <c r="AL181" s="43"/>
      <c r="AM181" s="43"/>
      <c r="AN181" s="43"/>
      <c r="AO181" s="43"/>
      <c r="AP181" s="43"/>
      <c r="AQ181" s="43"/>
      <c r="AR181" s="43"/>
      <c r="AS181" s="19"/>
      <c r="AT181" s="22"/>
      <c r="AU181" s="19"/>
      <c r="AV181" s="22"/>
      <c r="AW181" s="22"/>
      <c r="AX181" s="22"/>
      <c r="AY181" s="22"/>
      <c r="AZ181" s="22"/>
      <c r="BA181" s="19"/>
      <c r="BB181" s="23"/>
      <c r="BD181" s="86"/>
      <c r="BE181" s="86"/>
      <c r="BF181" s="86"/>
      <c r="BG181" s="86"/>
      <c r="BH181" s="86"/>
      <c r="BI181" s="86"/>
      <c r="BJ181" s="87"/>
      <c r="BK181" s="86"/>
      <c r="BL181" s="24"/>
      <c r="BM181" s="24"/>
      <c r="BN181" s="24"/>
      <c r="BO181" s="24"/>
    </row>
    <row r="182" spans="1:84" ht="12" customHeight="1" x14ac:dyDescent="0.2">
      <c r="A182" s="18"/>
      <c r="B182" s="20"/>
      <c r="C182" s="20"/>
      <c r="D182" s="19" t="s">
        <v>59</v>
      </c>
      <c r="E182" s="19"/>
      <c r="F182" s="19"/>
      <c r="G182" s="19"/>
      <c r="H182" s="19"/>
      <c r="I182" s="19"/>
      <c r="J182" s="19"/>
      <c r="K182" s="174"/>
      <c r="L182" s="174"/>
      <c r="M182" s="174"/>
      <c r="N182" s="174"/>
      <c r="O182" s="19" t="s">
        <v>44</v>
      </c>
      <c r="P182" s="19"/>
      <c r="Q182" s="171" t="str">
        <f>IFERROR(
IF(AND(PastureCheck,NOT(PeakCheck)),
IF(Z180&gt;ROUNDUP(K180*BE178+BF178,0),"Detention pipe can be reduced to "&amp;TEXT(ROUNDUP(K180*BE178+BF178,0),"#,##0")&amp; " ft. ",
IF(Z180&lt;ROUNDUP(K180*BE178+BF178,0),"Detention pipe to fully manage area is "&amp;TEXT(ROUNDUP(K180*BE178+BF178,0),"#,##0")&amp; " ft. ","")),
IF(AND(NOT(PastureCheck),PeakCheck),
IF(Z180&gt;ROUNDUP(K180*BE180+BF180,0),"Detention pipe can be reduced to "&amp;TEXT(ROUNDUP(K180*BE180+BF180,0),"#,##0")&amp;" ft. ",
IF(Z180&lt;ROUNDUP(K180*BE180+BF180,0),"Detention pipe to fully manage area is "&amp;TEXT(ROUNDUP(K180*BE180+BF180,0),"#,##0")&amp;" ft. ","")),
IF(AND(PastureCheck,PeakCheck),
IF(Z180&gt;MAX(K180*BE178+BF178,K180*BE180+BF180),"Detention pipe can be reduced to "&amp;TEXT(ROUNDUP(MAX(K180*BE178+BF178,K180*BE180+BF180),0),"#,##0")&amp;" ft. ",
IF(Z180&lt;MAX(K180*BE178+BF178,K180*BE180+BF180),"Detention pipe to fully manage area is "&amp;TEXT(ROUNDUP(MAX(K180*BE178+BF178,K180*BE180+BF180),0),"#,##0")&amp;" ft. ","")),""))),"")&amp; IF(AND(Standard&lt;&gt;"",K180&lt;&gt;"",K182&lt;&gt;"",Z180&lt;&gt;""),
IF(NOT(Standard=WQ),BE182,""),"")</f>
        <v/>
      </c>
      <c r="R182" s="171"/>
      <c r="S182" s="171"/>
      <c r="T182" s="171"/>
      <c r="U182" s="171"/>
      <c r="V182" s="171"/>
      <c r="W182" s="171"/>
      <c r="X182" s="171"/>
      <c r="Y182" s="171"/>
      <c r="Z182" s="171"/>
      <c r="AA182" s="171"/>
      <c r="AB182" s="171"/>
      <c r="AC182" s="171"/>
      <c r="AD182" s="171"/>
      <c r="AE182" s="171"/>
      <c r="AF182" s="171"/>
      <c r="AG182" s="171"/>
      <c r="AH182" s="69"/>
      <c r="AI182" s="69"/>
      <c r="AJ182" s="69"/>
      <c r="AK182" s="69"/>
      <c r="AL182" s="69"/>
      <c r="AM182" s="69"/>
      <c r="AN182" s="69"/>
      <c r="AO182" s="79"/>
      <c r="AP182" s="79"/>
      <c r="AQ182" s="79"/>
      <c r="AR182" s="79"/>
      <c r="AS182" s="80" t="s">
        <v>128</v>
      </c>
      <c r="AT182" s="81" t="s">
        <v>108</v>
      </c>
      <c r="AU182" s="76"/>
      <c r="AV182" s="201" t="str">
        <f>IF(AV180="","",IFERROR(IF(AND(PastureCheck,NOT(PeakCheck)),BJ178,IF(AND(NOT(PastureCheck),PeakCheck),BJ180,IF(AND(PastureCheck,PeakCheck),MIN(BJ178,BJ180),""))),""))</f>
        <v/>
      </c>
      <c r="AW182" s="201"/>
      <c r="AX182" s="201"/>
      <c r="AY182" s="201"/>
      <c r="AZ182" s="201"/>
      <c r="BA182" s="76" t="s">
        <v>44</v>
      </c>
      <c r="BB182" s="23"/>
      <c r="BE182" s="86" t="s">
        <v>215</v>
      </c>
      <c r="BF182" s="86"/>
      <c r="BG182" s="86"/>
      <c r="BH182" s="86"/>
      <c r="BI182" s="86"/>
      <c r="BJ182" s="87"/>
      <c r="BK182" s="86"/>
      <c r="BL182" s="24"/>
      <c r="BM182" s="24"/>
      <c r="BN182" s="24"/>
      <c r="BO182" s="24"/>
      <c r="BX182" s="24"/>
      <c r="BY182" s="24"/>
    </row>
    <row r="183" spans="1:84" ht="3.75" customHeight="1" x14ac:dyDescent="0.2">
      <c r="A183" s="6"/>
      <c r="B183" s="14"/>
      <c r="C183" s="14"/>
      <c r="D183" s="7"/>
      <c r="E183" s="7"/>
      <c r="F183" s="7"/>
      <c r="G183" s="7"/>
      <c r="H183" s="7"/>
      <c r="I183" s="7"/>
      <c r="J183" s="7"/>
      <c r="K183" s="7"/>
      <c r="L183" s="7"/>
      <c r="M183" s="7"/>
      <c r="N183" s="7"/>
      <c r="O183" s="7"/>
      <c r="P183" s="7"/>
      <c r="Q183" s="171"/>
      <c r="R183" s="171"/>
      <c r="S183" s="171"/>
      <c r="T183" s="171"/>
      <c r="U183" s="171"/>
      <c r="V183" s="171"/>
      <c r="W183" s="171"/>
      <c r="X183" s="171"/>
      <c r="Y183" s="171"/>
      <c r="Z183" s="171"/>
      <c r="AA183" s="171"/>
      <c r="AB183" s="171"/>
      <c r="AC183" s="171"/>
      <c r="AD183" s="171"/>
      <c r="AE183" s="171"/>
      <c r="AF183" s="171"/>
      <c r="AG183" s="171"/>
      <c r="AH183" s="63"/>
      <c r="AI183" s="63"/>
      <c r="AJ183" s="63"/>
      <c r="AK183" s="63"/>
      <c r="AL183" s="63"/>
      <c r="AM183" s="63"/>
      <c r="AN183" s="63"/>
      <c r="AO183" s="63"/>
      <c r="AP183" s="63"/>
      <c r="AQ183" s="63"/>
      <c r="AR183" s="63"/>
      <c r="AS183" s="70"/>
      <c r="AT183" s="68"/>
      <c r="AU183" s="7"/>
      <c r="AV183" s="7"/>
      <c r="AW183" s="7"/>
      <c r="AX183" s="7"/>
      <c r="AY183" s="7"/>
      <c r="AZ183" s="7"/>
      <c r="BA183" s="7"/>
      <c r="BB183" s="8"/>
      <c r="BD183" s="86"/>
      <c r="BE183" s="86"/>
      <c r="BF183" s="86"/>
      <c r="BG183" s="86"/>
      <c r="BH183" s="86"/>
      <c r="BI183" s="86"/>
      <c r="BJ183" s="87"/>
      <c r="BK183" s="86"/>
      <c r="BL183" s="24"/>
      <c r="BM183" s="24"/>
      <c r="BN183" s="24"/>
      <c r="BO183" s="24"/>
    </row>
    <row r="184" spans="1:84" s="24" customFormat="1" ht="12" customHeight="1" x14ac:dyDescent="0.2">
      <c r="A184" s="6"/>
      <c r="B184" s="14"/>
      <c r="C184" s="14" t="s">
        <v>33</v>
      </c>
      <c r="D184" s="7"/>
      <c r="E184" s="7"/>
      <c r="F184" s="7"/>
      <c r="G184" s="7"/>
      <c r="H184" s="7"/>
      <c r="I184" s="7"/>
      <c r="J184" s="7"/>
      <c r="K184" s="7"/>
      <c r="L184" s="7"/>
      <c r="M184" s="7"/>
      <c r="N184" s="7"/>
      <c r="O184" s="7"/>
      <c r="P184" s="7"/>
      <c r="Q184" s="171"/>
      <c r="R184" s="171"/>
      <c r="S184" s="171"/>
      <c r="T184" s="171"/>
      <c r="U184" s="171"/>
      <c r="V184" s="171"/>
      <c r="W184" s="171"/>
      <c r="X184" s="171"/>
      <c r="Y184" s="171"/>
      <c r="Z184" s="171"/>
      <c r="AA184" s="171"/>
      <c r="AB184" s="171"/>
      <c r="AC184" s="171"/>
      <c r="AD184" s="171"/>
      <c r="AE184" s="171"/>
      <c r="AF184" s="171"/>
      <c r="AG184" s="171"/>
      <c r="AH184" s="203" t="str">
        <f>IF(Standard="","Select performance standard",
IF(Standard=WQ,"NA to WQ Treatment Standard",
IF(K186="","Enter contributing area",IF(K188="","Select head above orifice",
IF(AND(PastureCheck, NOT(PeakCheck)),IFERROR(BG186,BI186),
IF(AND(NOT(PastureCheck),PeakCheck),IFERROR(BG188,BI188),
IF(AND(PastureCheck,PeakCheck),IFERROR(BG186,BI186))))))))</f>
        <v>Select performance standard</v>
      </c>
      <c r="AI184" s="203"/>
      <c r="AJ184" s="203"/>
      <c r="AK184" s="203"/>
      <c r="AL184" s="203"/>
      <c r="AM184" s="203"/>
      <c r="AN184" s="203"/>
      <c r="AO184" s="203"/>
      <c r="AP184" s="203"/>
      <c r="AQ184" s="203"/>
      <c r="AR184" s="203"/>
      <c r="AS184" s="7"/>
      <c r="AT184" s="7"/>
      <c r="AU184" s="7"/>
      <c r="AV184" s="7"/>
      <c r="AW184" s="7"/>
      <c r="AX184" s="7"/>
      <c r="AY184" s="7"/>
      <c r="AZ184" s="7"/>
      <c r="BA184" s="7"/>
      <c r="BB184" s="8"/>
      <c r="BC184" s="2"/>
      <c r="BD184" s="78" t="str">
        <f>C184</f>
        <v>Detention Vault</v>
      </c>
      <c r="BE184" s="87"/>
      <c r="BF184" s="87"/>
      <c r="BG184" s="87"/>
      <c r="BH184" s="87"/>
      <c r="BI184" s="87"/>
      <c r="BJ184" s="158" t="s">
        <v>221</v>
      </c>
      <c r="BK184" s="159" t="s">
        <v>222</v>
      </c>
      <c r="BP184" s="2"/>
      <c r="BQ184" s="2"/>
      <c r="BR184" s="2"/>
      <c r="BS184" s="2"/>
      <c r="BT184" s="2"/>
      <c r="BU184" s="2"/>
      <c r="BV184" s="2"/>
      <c r="BW184" s="2"/>
      <c r="BX184" s="2"/>
      <c r="BY184" s="2"/>
      <c r="BZ184" s="2"/>
      <c r="CA184" s="2"/>
      <c r="CB184" s="2"/>
    </row>
    <row r="185" spans="1:84" ht="3.75" customHeight="1" x14ac:dyDescent="0.2">
      <c r="A185" s="6"/>
      <c r="B185" s="14"/>
      <c r="C185" s="14"/>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203"/>
      <c r="AI185" s="203"/>
      <c r="AJ185" s="203"/>
      <c r="AK185" s="203"/>
      <c r="AL185" s="203"/>
      <c r="AM185" s="203"/>
      <c r="AN185" s="203"/>
      <c r="AO185" s="203"/>
      <c r="AP185" s="203"/>
      <c r="AQ185" s="203"/>
      <c r="AR185" s="203"/>
      <c r="AS185" s="7"/>
      <c r="AT185" s="7"/>
      <c r="AU185" s="7"/>
      <c r="AV185" s="7"/>
      <c r="AW185" s="7"/>
      <c r="AX185" s="7"/>
      <c r="AY185" s="7"/>
      <c r="AZ185" s="7"/>
      <c r="BA185" s="7"/>
      <c r="BB185" s="8"/>
      <c r="BD185" s="86"/>
      <c r="BE185" s="86"/>
      <c r="BF185" s="86"/>
      <c r="BG185" s="86"/>
      <c r="BH185" s="86"/>
      <c r="BI185" s="86"/>
      <c r="BJ185" s="87"/>
      <c r="BK185" s="86"/>
      <c r="BL185" s="24"/>
      <c r="BM185" s="24"/>
      <c r="BN185" s="24"/>
      <c r="BO185" s="24"/>
    </row>
    <row r="186" spans="1:84" ht="12" customHeight="1" x14ac:dyDescent="0.2">
      <c r="A186" s="18"/>
      <c r="B186" s="20"/>
      <c r="C186" s="20"/>
      <c r="D186" s="19" t="s">
        <v>19</v>
      </c>
      <c r="E186" s="19"/>
      <c r="F186" s="19"/>
      <c r="G186" s="19"/>
      <c r="H186" s="19"/>
      <c r="I186" s="19"/>
      <c r="J186" s="19"/>
      <c r="K186" s="173"/>
      <c r="L186" s="173"/>
      <c r="M186" s="173"/>
      <c r="N186" s="173"/>
      <c r="O186" s="19" t="s">
        <v>5</v>
      </c>
      <c r="P186" s="19"/>
      <c r="Q186" s="1" t="s">
        <v>62</v>
      </c>
      <c r="R186" s="19"/>
      <c r="S186" s="19"/>
      <c r="T186" s="19"/>
      <c r="U186" s="19"/>
      <c r="V186" s="19"/>
      <c r="W186" s="19"/>
      <c r="X186" s="19"/>
      <c r="Y186" s="21" t="str">
        <f>IF(AF186=":","","[ ")</f>
        <v/>
      </c>
      <c r="Z186" s="173"/>
      <c r="AA186" s="173"/>
      <c r="AB186" s="173"/>
      <c r="AC186" s="173"/>
      <c r="AD186" s="19" t="s">
        <v>5</v>
      </c>
      <c r="AE186" s="19"/>
      <c r="AF186" s="22" t="str">
        <f>IFERROR(IF(Z186="",":",
IF(AND(AH184=BG188,BE188&gt;0),"-",
IF(AND(AH184=BG186,BE186&gt;0),"-",":"))),":")</f>
        <v>:</v>
      </c>
      <c r="AG186" s="19"/>
      <c r="AH186" s="204"/>
      <c r="AI186" s="204"/>
      <c r="AJ186" s="204"/>
      <c r="AK186" s="204"/>
      <c r="AL186" s="204"/>
      <c r="AM186" s="204"/>
      <c r="AN186" s="204"/>
      <c r="AO186" s="204"/>
      <c r="AP186" s="204"/>
      <c r="AQ186" s="204"/>
      <c r="AR186" s="204"/>
      <c r="AS186" s="19"/>
      <c r="AT186" s="22" t="str">
        <f>IF(AF186="≥","A=","=")</f>
        <v>=</v>
      </c>
      <c r="AU186" s="19"/>
      <c r="AV186" s="183" t="str">
        <f>IFERROR(IF(AND(PastureCheck,NOT(PeakCheck)),MIN(K186,BH186),IF(AND(NOT(PastureCheck),PeakCheck),MIN(K186,BH188),IF(AND(PastureCheck,PeakCheck),MIN(K186,BH186,BH188),""))),"")</f>
        <v/>
      </c>
      <c r="AW186" s="183"/>
      <c r="AX186" s="183"/>
      <c r="AY186" s="183"/>
      <c r="AZ186" s="183"/>
      <c r="BA186" s="19" t="s">
        <v>5</v>
      </c>
      <c r="BB186" s="23"/>
      <c r="BC186" s="24"/>
      <c r="BD186" s="86" t="s">
        <v>7</v>
      </c>
      <c r="BE186" s="87" t="e">
        <f>INDEX('Sizing Factors'!$H:$H,MATCH($C$184&amp;$K$188&amp;$BK$186&amp;$BD$186,'Sizing Factors'!$L:$L,0))</f>
        <v>#N/A</v>
      </c>
      <c r="BF186" s="87" t="e">
        <f>INDEX('Sizing Factors'!$I:$I,MATCH($C$184&amp;$K$188&amp;$BK$186&amp;$BD$186,'Sizing Factors'!$L:$L,0))</f>
        <v>#N/A</v>
      </c>
      <c r="BG186" s="87" t="e">
        <f>IF(BF186=0,BE186*100&amp;"%",BF186&amp;" ] ÷ "&amp;BE186)</f>
        <v>#N/A</v>
      </c>
      <c r="BH186" s="88" t="e">
        <f>MAX((Z186-BF186)/BE186,0)</f>
        <v>#N/A</v>
      </c>
      <c r="BI186" s="89" t="str">
        <f>IF(K186&lt;2000,"Not applicable for contributing area &lt; 2,000 sf",IF(K186&gt;10000,"Not applicable for contributing area &gt; 10,000 sf",
INDEX('Sizing Factors'!$J:$J,MATCH($C$184&amp;$K$188&amp;$BK$186&amp;BD186,'Sizing Factors'!$L:$L,0))))</f>
        <v>Not applicable for contributing area &lt; 2,000 sf</v>
      </c>
      <c r="BJ186" s="87" t="e">
        <f>INDEX('Sizing Factors'!$K:$K,MATCH($C$184&amp;$K$188&amp;$BK$186&amp;$BD$186,'Sizing Factors'!$L:$L,0))</f>
        <v>#N/A</v>
      </c>
      <c r="BK186" s="86" t="str">
        <f>IF($K$186&lt;2000,"NA",IF($K$186&lt;5000,"20005000",IF($K$186&lt;=10000,"500010000","x")))</f>
        <v>NA</v>
      </c>
      <c r="BL186" s="24"/>
      <c r="BM186" s="24"/>
      <c r="BN186" s="24"/>
      <c r="BO186" s="24"/>
    </row>
    <row r="187" spans="1:84" ht="3.75" customHeight="1" x14ac:dyDescent="0.2">
      <c r="A187" s="18"/>
      <c r="B187" s="20"/>
      <c r="C187" s="20"/>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22"/>
      <c r="AG187" s="19"/>
      <c r="AH187" s="7"/>
      <c r="AI187" s="7"/>
      <c r="AJ187" s="7"/>
      <c r="AK187" s="7"/>
      <c r="AL187" s="7"/>
      <c r="AM187" s="7"/>
      <c r="AN187" s="7"/>
      <c r="AO187" s="7"/>
      <c r="AP187" s="7"/>
      <c r="AQ187" s="7"/>
      <c r="AR187" s="7"/>
      <c r="AS187" s="19"/>
      <c r="AT187" s="22"/>
      <c r="AU187" s="19"/>
      <c r="AV187" s="22"/>
      <c r="AW187" s="22"/>
      <c r="AX187" s="22"/>
      <c r="AY187" s="22"/>
      <c r="AZ187" s="22"/>
      <c r="BA187" s="19"/>
      <c r="BB187" s="23"/>
      <c r="BD187" s="86"/>
      <c r="BE187" s="87"/>
      <c r="BF187" s="87"/>
      <c r="BG187" s="87"/>
      <c r="BH187" s="87"/>
      <c r="BI187" s="87"/>
      <c r="BJ187" s="87"/>
      <c r="BK187" s="86"/>
      <c r="BL187" s="24"/>
      <c r="BM187" s="24"/>
      <c r="BN187" s="24"/>
      <c r="BO187" s="24"/>
    </row>
    <row r="188" spans="1:84" x14ac:dyDescent="0.2">
      <c r="A188" s="18"/>
      <c r="B188" s="20"/>
      <c r="C188" s="20"/>
      <c r="D188" s="19" t="s">
        <v>61</v>
      </c>
      <c r="E188" s="19"/>
      <c r="F188" s="19"/>
      <c r="G188" s="19"/>
      <c r="H188" s="19"/>
      <c r="I188" s="19"/>
      <c r="J188" s="19"/>
      <c r="K188" s="174"/>
      <c r="L188" s="174"/>
      <c r="M188" s="174"/>
      <c r="N188" s="174"/>
      <c r="O188" s="19" t="s">
        <v>46</v>
      </c>
      <c r="P188" s="19"/>
      <c r="Q188" s="171" t="str">
        <f>IFERROR(
IF(AND( NOT(PastureCheck),PeakCheck,Z186&gt;ROUNDUP(IF(BI188="power",K186^BF188*BE188,K186*BE188+BF188),0)),"Detention vault can be reduced to "&amp;TEXT(ROUNDUP(IF(BI188="power",K186^BF188*BE188,K186*BE188+BF188),0),"#,##0")&amp;" sf. ",
IF(AND(NOT(PastureCheck),PeakCheck,Z186&lt;ROUNDUP(IF(BI188="power",K186^BF188*BE188,K186*BE188+BF188),0)),"Detention vault to fully manage area is "&amp;TEXT(ROUNDUP(IF(BI188="power",K186^BF188*BE188,K186*BE188+BF188),0),"#,##0")&amp;" sf. ",
IF(AND(PeakCheck,OR(AND(K188=3,Z186&gt;0,Z186&lt;64),AND(K188=4,Z186&gt;0,Z186&lt;62))),"Vault must be at least "&amp;IF(K188=3,64,62)&amp;" sf to meet the Peak Control Standard. ",
IF(AND(PastureCheck, NOT(PeakCheck),Z186&gt;ROUNDUP(K186*BE186+BF186,0)),"Detention vault can be reduced to "&amp;TEXT(ROUNDUP(K186*BE186+BF186,0),"#,##0")&amp; " sf. ",
IF(AND(PastureCheck, NOT(PeakCheck),Z186&lt;ROUNDUP(K186*BE186+BF186,0)),"Detention vault to fully manage area is "&amp;TEXT(ROUNDUP(K186*BE186+BF186,0),"#,##0")&amp; " sf. ",
IF(AND(PastureCheck,PeakCheck,Z186&gt;ROUNDUP(MAX(K186*BE186+BF186,IF(BI188="power",K186^BF188*BE188,K186*BE188+BF188)),0)),"Detention vault can be reduced to "&amp;TEXT(ROUNDUP(MAX(K186*BE186+BF186,IF(BI188="power",K186^BF188*BE188,K186*BE188+BF188)),0),"#,##0")&amp;" sf. ",
IF(AND(PastureCheck,PeakCheck,Z186&lt;ROUNDUP(MAX(K186*BE186+BF186,IF(BI188="power",K186^BF188*BE188,K186*BE188+BF188)),0)),"Detention vault to fully manage area is "&amp;TEXT(ROUNDUP(MAX(K186*BE186+BF186,IF(BI188="power",K186^BF188*BE188,K186*BE188+BF188)),0),"#,##0")&amp;" sf. ",""))))))),"")</f>
        <v/>
      </c>
      <c r="R188" s="171"/>
      <c r="S188" s="171"/>
      <c r="T188" s="171"/>
      <c r="U188" s="171"/>
      <c r="V188" s="171"/>
      <c r="W188" s="171"/>
      <c r="X188" s="171"/>
      <c r="Y188" s="171"/>
      <c r="Z188" s="171"/>
      <c r="AA188" s="171"/>
      <c r="AB188" s="171"/>
      <c r="AC188" s="171"/>
      <c r="AD188" s="171"/>
      <c r="AE188" s="171"/>
      <c r="AF188" s="171"/>
      <c r="AG188" s="171"/>
      <c r="AH188" s="69"/>
      <c r="AI188" s="69"/>
      <c r="AJ188" s="69"/>
      <c r="AK188" s="69"/>
      <c r="AL188" s="69"/>
      <c r="AM188" s="69"/>
      <c r="AN188" s="69"/>
      <c r="AO188" s="69"/>
      <c r="AP188" s="69"/>
      <c r="AQ188" s="69"/>
      <c r="AR188" s="69"/>
      <c r="AS188" s="80" t="s">
        <v>128</v>
      </c>
      <c r="AT188" s="81" t="s">
        <v>108</v>
      </c>
      <c r="AU188" s="76"/>
      <c r="AV188" s="201" t="str">
        <f>IF(AV186="","",IFERROR(IF(AND(PastureCheck,NOT(PeakCheck)),BJ186,IF(AND(NOT(PastureCheck),PeakCheck),BJ188,IF(AND(PastureCheck,PeakCheck),MIN(BJ186,BJ188),""))),""))</f>
        <v/>
      </c>
      <c r="AW188" s="201"/>
      <c r="AX188" s="201"/>
      <c r="AY188" s="201"/>
      <c r="AZ188" s="201"/>
      <c r="BA188" s="76" t="s">
        <v>44</v>
      </c>
      <c r="BB188" s="23"/>
      <c r="BD188" s="86" t="s">
        <v>71</v>
      </c>
      <c r="BE188" s="87" t="e">
        <f>INDEX('Sizing Factors'!$H:$H,MATCH($C$184&amp;$K$188&amp;$BK$188&amp;$BD$188,'Sizing Factors'!$L:$L,0))</f>
        <v>#N/A</v>
      </c>
      <c r="BF188" s="87" t="e">
        <f>INDEX('Sizing Factors'!$I:$I,MATCH($C$184&amp;$K$188&amp;$BK$188&amp;$BD$188,'Sizing Factors'!$L:$L,0))</f>
        <v>#N/A</v>
      </c>
      <c r="BG188" s="87" t="e">
        <f>IF(BF188=0,BE188*100&amp;"%",BF188&amp;" ] ÷ "&amp;BE188)</f>
        <v>#N/A</v>
      </c>
      <c r="BH188" s="88">
        <f>IFERROR(MAX((Z186-BF188)/BE188,0),0)</f>
        <v>0</v>
      </c>
      <c r="BI188" s="89" t="str">
        <f>IF(K186&lt;2000,"Not applicable for contributing area &lt; 2,000 sf",IF(K186&gt;10000,"Not applicable for contributing area &gt; 10,000 sf",INDEX('Sizing Factors'!$J:$J,MATCH($C$184&amp;$K$188&amp;$BK$188&amp;BD188,'Sizing Factors'!$L:$L,0))))</f>
        <v>Not applicable for contributing area &lt; 2,000 sf</v>
      </c>
      <c r="BJ188" s="87" t="e">
        <f>INDEX('Sizing Factors'!$K:$K,MATCH($C$184&amp;$K$188&amp;$BK$188&amp;$BD$188,'Sizing Factors'!$L:$L,0))</f>
        <v>#N/A</v>
      </c>
      <c r="BK188" s="86" t="str">
        <f>IF($K$186&lt;2000,"NA",IF($K$186&lt;=7500,"20007500",IF($K$186&lt;=8000,"75008000",IF($K$186&lt;=10000,"800010000","x"))))</f>
        <v>NA</v>
      </c>
      <c r="BL188" s="24"/>
      <c r="BM188" s="24"/>
      <c r="BN188" s="24"/>
      <c r="BO188" s="24"/>
    </row>
    <row r="189" spans="1:84" ht="3.75" customHeight="1" x14ac:dyDescent="0.2">
      <c r="A189" s="6"/>
      <c r="B189" s="14"/>
      <c r="C189" s="14"/>
      <c r="D189" s="7"/>
      <c r="E189" s="7"/>
      <c r="F189" s="7"/>
      <c r="G189" s="7"/>
      <c r="H189" s="7"/>
      <c r="I189" s="7"/>
      <c r="J189" s="7"/>
      <c r="K189" s="7"/>
      <c r="L189" s="7"/>
      <c r="M189" s="7"/>
      <c r="N189" s="7"/>
      <c r="O189" s="7"/>
      <c r="P189" s="7"/>
      <c r="Q189" s="171"/>
      <c r="R189" s="171"/>
      <c r="S189" s="171"/>
      <c r="T189" s="171"/>
      <c r="U189" s="171"/>
      <c r="V189" s="171"/>
      <c r="W189" s="171"/>
      <c r="X189" s="171"/>
      <c r="Y189" s="171"/>
      <c r="Z189" s="171"/>
      <c r="AA189" s="171"/>
      <c r="AB189" s="171"/>
      <c r="AC189" s="171"/>
      <c r="AD189" s="171"/>
      <c r="AE189" s="171"/>
      <c r="AF189" s="171"/>
      <c r="AG189" s="171"/>
      <c r="AH189" s="7"/>
      <c r="AI189" s="7"/>
      <c r="AJ189" s="7"/>
      <c r="AK189" s="7"/>
      <c r="AL189" s="7"/>
      <c r="AM189" s="7"/>
      <c r="AN189" s="7"/>
      <c r="AO189" s="7"/>
      <c r="AP189" s="7"/>
      <c r="AQ189" s="7"/>
      <c r="AR189" s="7"/>
      <c r="AS189" s="7"/>
      <c r="AT189" s="7"/>
      <c r="AU189" s="7"/>
      <c r="AV189" s="7"/>
      <c r="AW189" s="7"/>
      <c r="AX189" s="7"/>
      <c r="AY189" s="7"/>
      <c r="AZ189" s="7"/>
      <c r="BA189" s="7"/>
      <c r="BB189" s="8"/>
      <c r="BD189" s="86"/>
      <c r="BE189" s="86"/>
      <c r="BF189" s="86"/>
      <c r="BG189" s="86"/>
      <c r="BH189" s="86"/>
      <c r="BI189" s="86"/>
      <c r="BJ189" s="87"/>
      <c r="BK189" s="86"/>
      <c r="BL189" s="24"/>
      <c r="BM189" s="24"/>
      <c r="BN189" s="24"/>
      <c r="BO189" s="24"/>
    </row>
    <row r="190" spans="1:84" s="24" customFormat="1" ht="12" customHeight="1" x14ac:dyDescent="0.2">
      <c r="A190" s="6"/>
      <c r="B190" s="14"/>
      <c r="C190" s="14" t="s">
        <v>34</v>
      </c>
      <c r="D190" s="7"/>
      <c r="E190" s="7"/>
      <c r="F190" s="7"/>
      <c r="G190" s="7"/>
      <c r="H190" s="7"/>
      <c r="I190" s="7"/>
      <c r="J190" s="7"/>
      <c r="K190" s="7"/>
      <c r="L190" s="7"/>
      <c r="M190" s="7"/>
      <c r="N190" s="7"/>
      <c r="O190" s="7"/>
      <c r="P190" s="7"/>
      <c r="Q190" s="171"/>
      <c r="R190" s="171"/>
      <c r="S190" s="171"/>
      <c r="T190" s="171"/>
      <c r="U190" s="171"/>
      <c r="V190" s="171"/>
      <c r="W190" s="171"/>
      <c r="X190" s="171"/>
      <c r="Y190" s="171"/>
      <c r="Z190" s="171"/>
      <c r="AA190" s="171"/>
      <c r="AB190" s="171"/>
      <c r="AC190" s="171"/>
      <c r="AD190" s="171"/>
      <c r="AE190" s="171"/>
      <c r="AF190" s="171"/>
      <c r="AG190" s="171"/>
      <c r="AH190" s="203" t="str">
        <f>IF(Standard="","Select performance standard",
IF(Standard=WQ, "NA to WQ Treatment Standard",
IF(K192="","Enter contributing area",IF(K194="","Select head above orifice",
IF(K192&gt;10000,BI194,
IF(AND(PastureCheck,NOT(PeakCheck)),IFERROR(BG194,BI194),
IF(AND(NOT(PastureCheck),PeakCheck),IFERROR(BG197,BI197),
IF(AND(PastureCheck,PeakCheck),IFERROR(IF(BH194&lt;BH197,BG194,BG197),BI194)))))))))</f>
        <v>Select performance standard</v>
      </c>
      <c r="AI190" s="203"/>
      <c r="AJ190" s="203"/>
      <c r="AK190" s="203"/>
      <c r="AL190" s="203"/>
      <c r="AM190" s="203"/>
      <c r="AN190" s="203"/>
      <c r="AO190" s="203"/>
      <c r="AP190" s="203"/>
      <c r="AQ190" s="203"/>
      <c r="AR190" s="203"/>
      <c r="AS190" s="7"/>
      <c r="AT190" s="7"/>
      <c r="AU190" s="7"/>
      <c r="AV190" s="7"/>
      <c r="AW190" s="7"/>
      <c r="AX190" s="7"/>
      <c r="AY190" s="7"/>
      <c r="AZ190" s="7"/>
      <c r="BA190" s="7"/>
      <c r="BB190" s="8"/>
      <c r="BC190" s="2"/>
      <c r="BE190" s="86"/>
      <c r="BF190" s="86"/>
      <c r="BG190" s="86"/>
      <c r="BH190" s="86"/>
      <c r="BI190" s="86"/>
      <c r="BJ190" s="87"/>
      <c r="BK190" s="86"/>
      <c r="BP190" s="2"/>
      <c r="BQ190" s="2"/>
      <c r="BR190" s="2"/>
      <c r="BS190" s="2"/>
      <c r="BT190" s="2"/>
      <c r="BU190" s="2"/>
      <c r="BV190" s="2"/>
      <c r="BW190" s="2"/>
      <c r="BX190" s="2"/>
      <c r="BY190" s="2"/>
    </row>
    <row r="191" spans="1:84" ht="3.75" customHeight="1" x14ac:dyDescent="0.2">
      <c r="A191" s="6"/>
      <c r="B191" s="14"/>
      <c r="C191" s="14"/>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203"/>
      <c r="AI191" s="203"/>
      <c r="AJ191" s="203"/>
      <c r="AK191" s="203"/>
      <c r="AL191" s="203"/>
      <c r="AM191" s="203"/>
      <c r="AN191" s="203"/>
      <c r="AO191" s="203"/>
      <c r="AP191" s="203"/>
      <c r="AQ191" s="203"/>
      <c r="AR191" s="203"/>
      <c r="AS191" s="7"/>
      <c r="AT191" s="7"/>
      <c r="AU191" s="7"/>
      <c r="AV191" s="7"/>
      <c r="AW191" s="7"/>
      <c r="AX191" s="7"/>
      <c r="AY191" s="7"/>
      <c r="AZ191" s="7"/>
      <c r="BA191" s="7"/>
      <c r="BB191" s="8"/>
      <c r="BD191" s="86"/>
      <c r="BE191" s="86"/>
      <c r="BF191" s="86"/>
      <c r="BG191" s="86"/>
      <c r="BH191" s="86"/>
      <c r="BI191" s="86"/>
      <c r="BJ191" s="87"/>
      <c r="BK191" s="86"/>
      <c r="BL191" s="24"/>
      <c r="BM191" s="24"/>
      <c r="BN191" s="24"/>
      <c r="BO191" s="24"/>
      <c r="BZ191" s="24"/>
      <c r="CA191" s="24"/>
      <c r="CB191" s="24"/>
      <c r="CC191" s="24"/>
      <c r="CD191" s="24"/>
      <c r="CE191" s="24"/>
      <c r="CF191" s="24"/>
    </row>
    <row r="192" spans="1:84" x14ac:dyDescent="0.2">
      <c r="A192" s="18"/>
      <c r="B192" s="20"/>
      <c r="C192" s="20"/>
      <c r="D192" s="19" t="s">
        <v>19</v>
      </c>
      <c r="E192" s="19"/>
      <c r="F192" s="19"/>
      <c r="G192" s="19"/>
      <c r="H192" s="19"/>
      <c r="I192" s="19"/>
      <c r="J192" s="19"/>
      <c r="K192" s="173"/>
      <c r="L192" s="173"/>
      <c r="M192" s="173"/>
      <c r="N192" s="173"/>
      <c r="O192" s="19" t="s">
        <v>5</v>
      </c>
      <c r="P192" s="19"/>
      <c r="Q192" s="1" t="s">
        <v>63</v>
      </c>
      <c r="R192" s="19"/>
      <c r="S192" s="19"/>
      <c r="T192" s="19"/>
      <c r="U192" s="19"/>
      <c r="V192" s="19"/>
      <c r="W192" s="19"/>
      <c r="X192" s="19"/>
      <c r="Y192" s="21" t="str">
        <f>IFERROR(
IF(AH190=BG197,"[",
IF(AH190=BG194,IF(BE194=0,"", IF(BF194=0,"","[")),"")),IF(AF192=":","",":"))</f>
        <v/>
      </c>
      <c r="Z192" s="173"/>
      <c r="AA192" s="173"/>
      <c r="AB192" s="173"/>
      <c r="AC192" s="173"/>
      <c r="AD192" s="19" t="s">
        <v>5</v>
      </c>
      <c r="AE192" s="19"/>
      <c r="AF192" s="22" t="str">
        <f>IFERROR(
IF(AH190=BG197,IF(BI197="constant","-","÷"),
IF(AH190=BG194,IF(BE194=0,"≥", IF(BF194=0,"÷","÷")),":")),":")</f>
        <v>:</v>
      </c>
      <c r="AG192" s="19"/>
      <c r="AH192" s="204"/>
      <c r="AI192" s="204"/>
      <c r="AJ192" s="204"/>
      <c r="AK192" s="204"/>
      <c r="AL192" s="204"/>
      <c r="AM192" s="204"/>
      <c r="AN192" s="204"/>
      <c r="AO192" s="204"/>
      <c r="AP192" s="204"/>
      <c r="AQ192" s="204"/>
      <c r="AR192" s="204"/>
      <c r="AS192" s="19"/>
      <c r="AT192" s="22" t="str">
        <f>IF(AF192="≥","A=","=")</f>
        <v>=</v>
      </c>
      <c r="AU192" s="19"/>
      <c r="AV192" s="183" t="str">
        <f>IFERROR(IF(AND(PastureCheck,NOT(PeakCheck)),MIN(K192,BH194),IF(AND(NOT(PastureCheck),PeakCheck),MIN(K192,BH197),IF(AND(PastureCheck,PeakCheck),MIN(K192,BH194,BH197),""))),"")</f>
        <v/>
      </c>
      <c r="AW192" s="183"/>
      <c r="AX192" s="183"/>
      <c r="AY192" s="183"/>
      <c r="AZ192" s="183"/>
      <c r="BA192" s="19" t="s">
        <v>5</v>
      </c>
      <c r="BB192" s="23"/>
      <c r="BD192" s="78" t="str">
        <f>C190</f>
        <v>Detention Cistern</v>
      </c>
      <c r="BE192" s="87"/>
      <c r="BF192" s="87"/>
      <c r="BG192" s="87"/>
      <c r="BH192" s="87"/>
      <c r="BI192" s="87"/>
      <c r="BJ192" s="158" t="s">
        <v>221</v>
      </c>
      <c r="BK192" s="159" t="s">
        <v>222</v>
      </c>
      <c r="BL192" s="24"/>
      <c r="BM192" s="24"/>
      <c r="BN192" s="24"/>
      <c r="BO192" s="24"/>
      <c r="BZ192" s="24"/>
      <c r="CA192" s="24"/>
      <c r="CB192" s="24"/>
      <c r="CC192" s="24"/>
      <c r="CD192" s="24"/>
      <c r="CE192" s="24"/>
      <c r="CF192" s="24"/>
    </row>
    <row r="193" spans="1:84" ht="3.75" customHeight="1" x14ac:dyDescent="0.2">
      <c r="A193" s="18"/>
      <c r="B193" s="20"/>
      <c r="C193" s="20"/>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22"/>
      <c r="AG193" s="19"/>
      <c r="AH193" s="43"/>
      <c r="AI193" s="43"/>
      <c r="AJ193" s="43"/>
      <c r="AK193" s="43"/>
      <c r="AL193" s="43"/>
      <c r="AM193" s="43"/>
      <c r="AN193" s="43"/>
      <c r="AO193" s="43"/>
      <c r="AP193" s="43"/>
      <c r="AQ193" s="43"/>
      <c r="AR193" s="43"/>
      <c r="AS193" s="19"/>
      <c r="AT193" s="22"/>
      <c r="AU193" s="19"/>
      <c r="AV193" s="22"/>
      <c r="AW193" s="22"/>
      <c r="AX193" s="22"/>
      <c r="AY193" s="22"/>
      <c r="AZ193" s="22"/>
      <c r="BA193" s="19"/>
      <c r="BB193" s="23"/>
      <c r="BD193" s="86"/>
      <c r="BE193" s="86"/>
      <c r="BF193" s="86"/>
      <c r="BG193" s="86"/>
      <c r="BH193" s="86"/>
      <c r="BI193" s="86"/>
      <c r="BJ193" s="87"/>
      <c r="BK193" s="86"/>
      <c r="BL193" s="24"/>
      <c r="BM193" s="24"/>
      <c r="BN193" s="24"/>
      <c r="BO193" s="24"/>
      <c r="BZ193" s="24"/>
      <c r="CA193" s="24"/>
      <c r="CB193" s="24"/>
      <c r="CC193" s="24"/>
      <c r="CD193" s="24"/>
      <c r="CE193" s="24"/>
      <c r="CF193" s="24"/>
    </row>
    <row r="194" spans="1:84" ht="12" customHeight="1" x14ac:dyDescent="0.2">
      <c r="A194" s="18"/>
      <c r="B194" s="20"/>
      <c r="C194" s="20"/>
      <c r="D194" s="19" t="s">
        <v>61</v>
      </c>
      <c r="E194" s="19"/>
      <c r="F194" s="19"/>
      <c r="G194" s="19"/>
      <c r="H194" s="19"/>
      <c r="I194" s="19"/>
      <c r="J194" s="19"/>
      <c r="K194" s="174"/>
      <c r="L194" s="174"/>
      <c r="M194" s="174"/>
      <c r="N194" s="174"/>
      <c r="O194" s="19" t="s">
        <v>46</v>
      </c>
      <c r="P194" s="19"/>
      <c r="Q194" s="171" t="str">
        <f>IF(OR(K192="",K194=""),"",
IFERROR(
IF(AND(PastureCheck,NOT(PeakCheck)),
IF(Z192&lt;ROUNDUP(IF(BF194=0,K192*BE194,IF(BE194=0,BF194,BE194*K192^BF194)),0),"Detention cistern to fully manage area is " &amp; ROUNDUP(IF(OR(BE194=0,BF194=0),K192*BE194+BF194,BE194*K192^BF194),0)&amp;" sf.",
IF(Z192&gt;ROUNDUP(IF(BF194=0,K192*BE194,IF(BE194=0,BF194,BE194*K192^BF194)),0),"Detention cistern can be reduced to " &amp; ROUNDUP(IF(OR(BE194=0,BF194=0),K192*BE194+BF194,BE194*K192^BF194),0)&amp;" sf.","")),
IF(AND(NOT(PastureCheck),PeakCheck),
IF(Z192&lt;ROUNDUP(IF(BI197="constant",K192*BE197+BF197,BE197*K192^BF197),0),"Detention cistern to fully manage area is "&amp; ROUNDUP(IF(BI197="constant",K192*BE197+BF197,BE197*K192^BF197),0)&amp;" sf.",
IF(Z192&gt;ROUNDUP(IF(BI197="constant",K192*BE197+BF197,BE197*K192^BF197),0),"Detention cistern can be reduced to "&amp; ROUNDUP(IF(BI197="constant",K192*BE197+BF197,BE197*K192^BF197),0)&amp;" sf.","")),
IF(AND(PastureCheck,PeakCheck),
IF(Z192&lt;MAX(ROUNDUP(IF(BF194=0,K192*BE194,IF(BE194=0,BF194,BE194*K192^BF194)),0),ROUNDUP(IF(BI197="constant",K192*BE197+BF197,BE197*K192^BF197),0)),"Detention cistern to fully manage area is " &amp; MAX(ROUNDUP(IF(BI197="constant",K192*BE197+BF197,BE197*K192^BF197),0),ROUNDUP(IF(OR(BE194=0,BF194=0),K192*BE194+BF194,BE194*K192^BF194),0))&amp;" sf.",
IF(Z192&gt;MAX(ROUNDUP(IF(BF194=0,K192*BE194,IF(BE194=0,BF194,BE194*K192^BF194)),0),ROUNDUP(IF(BI197="constant",K192*BE197+BF197,BE197*K192^BF197),0)),"Detention cistern can be reduced to " &amp; MAX(ROUNDUP(IF(BI197="constant",K192*BE197+BF197,BE197*K192^BF197),0),ROUNDUP(IF(OR(BE194=0,BF194=0),K192*BE194+BF194,BE194*K192^BF194),0))&amp;" sf.","")),"")
)),""))</f>
        <v/>
      </c>
      <c r="R194" s="171"/>
      <c r="S194" s="171"/>
      <c r="T194" s="171"/>
      <c r="U194" s="171"/>
      <c r="V194" s="171"/>
      <c r="W194" s="171"/>
      <c r="X194" s="171"/>
      <c r="Y194" s="171"/>
      <c r="Z194" s="171"/>
      <c r="AA194" s="171"/>
      <c r="AB194" s="171"/>
      <c r="AC194" s="171"/>
      <c r="AD194" s="171"/>
      <c r="AE194" s="171"/>
      <c r="AF194" s="171"/>
      <c r="AG194" s="171"/>
      <c r="AH194" s="69"/>
      <c r="AI194" s="69"/>
      <c r="AJ194" s="69"/>
      <c r="AK194" s="69"/>
      <c r="AL194" s="69"/>
      <c r="AM194" s="69"/>
      <c r="AN194" s="69"/>
      <c r="AO194" s="69"/>
      <c r="AP194" s="69"/>
      <c r="AQ194" s="69"/>
      <c r="AR194" s="79"/>
      <c r="AS194" s="80" t="s">
        <v>128</v>
      </c>
      <c r="AT194" s="81" t="s">
        <v>108</v>
      </c>
      <c r="AU194" s="76"/>
      <c r="AV194" s="201" t="str">
        <f>IFERROR(IF(AND(PastureCheck,NOT(PeakCheck)),BJ194,IF(AND(NOT(PastureCheck),PeakCheck),BJ197,IF(AND(PastureCheck,PeakCheck),MIN(BJ194,BJ197),""))),"")</f>
        <v/>
      </c>
      <c r="AW194" s="201"/>
      <c r="AX194" s="201"/>
      <c r="AY194" s="201"/>
      <c r="AZ194" s="201"/>
      <c r="BA194" s="76" t="s">
        <v>44</v>
      </c>
      <c r="BB194" s="23"/>
      <c r="BD194" s="86" t="s">
        <v>7</v>
      </c>
      <c r="BE194" s="87" t="e">
        <f>INDEX('Sizing Factors'!$H:$H,MATCH($C$190&amp;$K$194&amp;$BK$194&amp;$BD$194,'Sizing Factors'!$L:$L,0))</f>
        <v>#N/A</v>
      </c>
      <c r="BF194" s="87" t="e">
        <f>INDEX('Sizing Factors'!$I:$I,MATCH($C$190&amp;$K$194&amp;$BK$194&amp;$BD$194,'Sizing Factors'!$L:$L,0))</f>
        <v>#N/A</v>
      </c>
      <c r="BG194" s="87" t="e">
        <f>IF(BF194=0,BE194*100&amp;"%",IF(BE194=0,BF194&amp;" sf",BE194&amp;" ] ^ (1 / "&amp;BF194&amp;")"))</f>
        <v>#N/A</v>
      </c>
      <c r="BH194" s="88" t="e">
        <f>IF(BE194=0,IF(Z192&gt;=BF194,K192,0),
IF(BF194=0, Z192/BE194,
(Z192/BE194)^(1/BF194)))</f>
        <v>#N/A</v>
      </c>
      <c r="BI194" s="89" t="e">
        <f>IF(K192&gt;10000,"Not applicable for contributing area &gt; 10,000 sf",INDEX('Sizing Factors'!$J:$J,MATCH($C$190&amp;$K$194&amp;$BK$194&amp;BD194,'Sizing Factors'!$L:$L,0)))</f>
        <v>#N/A</v>
      </c>
      <c r="BJ194" s="87" t="e">
        <f>INDEX('Sizing Factors'!$K:$K,MATCH($C$190&amp;$K$194&amp;$BK$194&amp;$BD$194,'Sizing Factors'!$L:$L,0))</f>
        <v>#N/A</v>
      </c>
      <c r="BK194" s="86" t="str">
        <f>IF($K$192&lt;=3500,"03500",IF($K$192&lt;=5000,"35005000",IF($K$192&lt;=6000,"50006000",IF($K$192&lt;=10000,"600010000","x"))))</f>
        <v>03500</v>
      </c>
      <c r="BL194" s="24"/>
      <c r="BM194" s="24"/>
      <c r="BN194" s="24"/>
      <c r="BO194" s="24"/>
      <c r="BZ194" s="24"/>
      <c r="CA194" s="24"/>
      <c r="CB194" s="24"/>
      <c r="CC194" s="24"/>
      <c r="CD194" s="24"/>
      <c r="CE194" s="24"/>
      <c r="CF194" s="24"/>
    </row>
    <row r="195" spans="1:84" ht="3.75" customHeight="1" x14ac:dyDescent="0.2">
      <c r="A195" s="6"/>
      <c r="B195" s="14"/>
      <c r="C195" s="14"/>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3"/>
      <c r="AS195" s="73"/>
      <c r="AT195" s="73"/>
      <c r="AU195" s="73"/>
      <c r="AV195" s="73"/>
      <c r="AW195" s="73"/>
      <c r="AX195" s="73"/>
      <c r="AY195" s="73"/>
      <c r="AZ195" s="73"/>
      <c r="BA195" s="73"/>
      <c r="BB195" s="8"/>
      <c r="BD195" s="90"/>
      <c r="BE195" s="90"/>
      <c r="BF195" s="90"/>
      <c r="BG195" s="90"/>
      <c r="BH195" s="90"/>
      <c r="BI195" s="90"/>
      <c r="BJ195" s="87"/>
      <c r="BK195" s="86"/>
      <c r="BL195" s="24"/>
      <c r="BM195" s="24"/>
      <c r="BN195" s="24"/>
      <c r="BO195" s="24"/>
      <c r="BZ195" s="24"/>
      <c r="CA195" s="24"/>
      <c r="CB195" s="24"/>
      <c r="CC195" s="24"/>
      <c r="CD195" s="24"/>
      <c r="CE195" s="24"/>
      <c r="CF195" s="24"/>
    </row>
    <row r="196" spans="1:84" ht="3.75" customHeight="1" x14ac:dyDescent="0.2">
      <c r="A196" s="3"/>
      <c r="B196" s="25"/>
      <c r="C196" s="25"/>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82"/>
      <c r="AS196" s="82"/>
      <c r="AT196" s="82"/>
      <c r="AU196" s="82"/>
      <c r="AV196" s="82"/>
      <c r="AW196" s="82"/>
      <c r="AX196" s="82"/>
      <c r="AY196" s="82"/>
      <c r="AZ196" s="82"/>
      <c r="BA196" s="82"/>
      <c r="BB196" s="5"/>
      <c r="BD196" s="86"/>
      <c r="BE196" s="86"/>
      <c r="BF196" s="86"/>
      <c r="BG196" s="86"/>
      <c r="BH196" s="86"/>
      <c r="BI196" s="86"/>
      <c r="BJ196" s="87"/>
      <c r="BK196" s="86"/>
      <c r="BL196" s="24"/>
      <c r="BM196" s="24"/>
      <c r="BN196" s="24"/>
      <c r="BO196" s="24"/>
      <c r="BZ196" s="24"/>
      <c r="CA196" s="24"/>
      <c r="CB196" s="24"/>
      <c r="CC196" s="24"/>
      <c r="CD196" s="24"/>
      <c r="CE196" s="24"/>
      <c r="CF196" s="24"/>
    </row>
    <row r="197" spans="1:84" x14ac:dyDescent="0.2">
      <c r="A197" s="6"/>
      <c r="B197" s="14"/>
      <c r="C197" s="14"/>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14"/>
      <c r="AF197" s="7"/>
      <c r="AG197" s="7"/>
      <c r="AH197" s="7"/>
      <c r="AI197" s="7"/>
      <c r="AJ197" s="7"/>
      <c r="AK197" s="7"/>
      <c r="AL197" s="7"/>
      <c r="AM197" s="7"/>
      <c r="AN197" s="7"/>
      <c r="AO197" s="7"/>
      <c r="AP197" s="7"/>
      <c r="AQ197" s="7"/>
      <c r="AR197" s="73"/>
      <c r="AS197" s="73"/>
      <c r="AT197" s="83" t="s">
        <v>114</v>
      </c>
      <c r="AU197" s="205">
        <f>IFERROR(SUM(AV170,AV180,AV186,AV192),"")</f>
        <v>0</v>
      </c>
      <c r="AV197" s="205"/>
      <c r="AW197" s="205"/>
      <c r="AX197" s="205"/>
      <c r="AY197" s="205"/>
      <c r="AZ197" s="205"/>
      <c r="BA197" s="73" t="s">
        <v>5</v>
      </c>
      <c r="BB197" s="8"/>
      <c r="BD197" s="86" t="s">
        <v>71</v>
      </c>
      <c r="BE197" s="87" t="e">
        <f>INDEX('Sizing Factors'!$H:$H,MATCH($C$190&amp;$K$194&amp;$BK$197&amp;$BD$197,'Sizing Factors'!$L:$L,0))</f>
        <v>#N/A</v>
      </c>
      <c r="BF197" s="87" t="e">
        <f>INDEX('Sizing Factors'!$I:$I,MATCH($C$190&amp;$K$194&amp;$BK$197&amp;$BD$197,'Sizing Factors'!$L:$L,0))</f>
        <v>#N/A</v>
      </c>
      <c r="BG197" s="87" t="e">
        <f>IF(BI197="constant",BF197 &amp;" ] ÷ "&amp;BE197,
BE197&amp;" ] ^ (1 / "&amp;BF197&amp;")")</f>
        <v>#N/A</v>
      </c>
      <c r="BH197" s="88" t="e">
        <f>IF(BI197="constant",(Z192-BF197)/BE197,(Z192/BE197)^(1/BF197))</f>
        <v>#N/A</v>
      </c>
      <c r="BI197" s="89" t="e">
        <f>IF(K192&gt;10000,"Not applicable for contributing area &gt; 10,000 sf",INDEX('Sizing Factors'!$J:$J,MATCH($C$190&amp;$K$194&amp;$BK$197&amp;BD197,'Sizing Factors'!$L:$L,0)))</f>
        <v>#N/A</v>
      </c>
      <c r="BJ197" s="87" t="e">
        <f>INDEX('Sizing Factors'!$K:$K,MATCH($C$190&amp;$K$194&amp;$BK$197&amp;$BD$197,'Sizing Factors'!$L:$L,0))</f>
        <v>#N/A</v>
      </c>
      <c r="BK197" s="86" t="str">
        <f>IF($K$192&lt;=3500,"03500",IF($K$192&lt;=5000,"35005000",IF($K$192&lt;=9999,"50009999",IF($K$192&lt;=10000,"999910000","x"))))</f>
        <v>03500</v>
      </c>
      <c r="BL197" s="24"/>
      <c r="BM197" s="24"/>
      <c r="BN197" s="24"/>
      <c r="BO197" s="24"/>
      <c r="BZ197" s="24"/>
      <c r="CA197" s="24"/>
      <c r="CB197" s="24"/>
      <c r="CC197" s="24"/>
      <c r="CD197" s="24"/>
      <c r="CE197" s="24"/>
      <c r="CF197" s="24"/>
    </row>
    <row r="198" spans="1:84" ht="3.75" customHeight="1" x14ac:dyDescent="0.2">
      <c r="A198" s="10"/>
      <c r="B198" s="17"/>
      <c r="C198" s="17"/>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84"/>
      <c r="AS198" s="84"/>
      <c r="AT198" s="84"/>
      <c r="AU198" s="84"/>
      <c r="AV198" s="84"/>
      <c r="AW198" s="84"/>
      <c r="AX198" s="84"/>
      <c r="AY198" s="84"/>
      <c r="AZ198" s="84"/>
      <c r="BA198" s="84"/>
      <c r="BB198" s="12"/>
      <c r="BD198" s="24"/>
      <c r="BE198" s="24"/>
      <c r="BF198" s="24"/>
      <c r="BG198" s="24"/>
      <c r="BH198" s="24"/>
    </row>
    <row r="199" spans="1:84" ht="3.75" customHeight="1" x14ac:dyDescent="0.2">
      <c r="A199" s="53"/>
      <c r="B199" s="53"/>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c r="AB199" s="53"/>
      <c r="AC199" s="53"/>
      <c r="AD199" s="53"/>
      <c r="AE199" s="53"/>
      <c r="AF199" s="53"/>
      <c r="AG199" s="53"/>
      <c r="AH199" s="53"/>
      <c r="AI199" s="53"/>
      <c r="AJ199" s="53"/>
      <c r="AK199" s="53"/>
      <c r="AL199" s="53"/>
      <c r="AM199" s="53"/>
      <c r="AN199" s="53"/>
      <c r="AO199" s="53"/>
      <c r="AP199" s="53"/>
      <c r="AQ199" s="53"/>
      <c r="AR199" s="85"/>
      <c r="AS199" s="85"/>
      <c r="AT199" s="85"/>
      <c r="AU199" s="85"/>
      <c r="AV199" s="85"/>
      <c r="AW199" s="85"/>
      <c r="AX199" s="85"/>
      <c r="AY199" s="85"/>
      <c r="AZ199" s="85"/>
      <c r="BA199" s="85"/>
      <c r="BB199" s="65"/>
      <c r="BD199" s="24"/>
      <c r="BE199" s="24"/>
      <c r="BF199" s="24"/>
      <c r="BG199" s="24"/>
      <c r="BH199" s="24"/>
    </row>
    <row r="200" spans="1:84" x14ac:dyDescent="0.2">
      <c r="A200" s="53"/>
      <c r="B200" s="53"/>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c r="AB200" s="53"/>
      <c r="AC200" s="53"/>
      <c r="AD200" s="53"/>
      <c r="AE200" s="85" t="s">
        <v>125</v>
      </c>
      <c r="AF200" s="53"/>
      <c r="AG200" s="53"/>
      <c r="AH200" s="66"/>
      <c r="AI200" s="66"/>
      <c r="AJ200" s="66"/>
      <c r="AK200" s="66"/>
      <c r="AL200" s="66"/>
      <c r="AM200" s="66"/>
      <c r="AN200" s="66"/>
      <c r="AO200" s="66"/>
      <c r="AP200" s="66"/>
      <c r="AQ200" s="66"/>
      <c r="AR200" s="85"/>
      <c r="AS200" s="85"/>
      <c r="AT200" s="85"/>
      <c r="AU200" s="198">
        <f>AE10</f>
        <v>0</v>
      </c>
      <c r="AV200" s="198"/>
      <c r="AW200" s="198"/>
      <c r="AX200" s="198"/>
      <c r="AY200" s="198"/>
      <c r="AZ200" s="198"/>
      <c r="BA200" s="85" t="s">
        <v>5</v>
      </c>
      <c r="BB200" s="54"/>
      <c r="BC200" s="45"/>
      <c r="BD200" s="24"/>
      <c r="BE200" s="24"/>
      <c r="BF200" s="24"/>
      <c r="BG200" s="24"/>
      <c r="BH200" s="24"/>
    </row>
    <row r="201" spans="1:84" ht="3.75" customHeight="1" x14ac:dyDescent="0.2">
      <c r="A201" s="52"/>
      <c r="B201" s="53"/>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c r="AB201" s="53"/>
      <c r="AC201" s="53"/>
      <c r="AD201" s="53"/>
      <c r="AE201" s="53"/>
      <c r="AF201" s="53"/>
      <c r="AG201" s="53"/>
      <c r="AH201" s="53"/>
      <c r="AI201" s="53"/>
      <c r="AJ201" s="53"/>
      <c r="AK201" s="53"/>
      <c r="AL201" s="53"/>
      <c r="AM201" s="53"/>
      <c r="AN201" s="53"/>
      <c r="AO201" s="53"/>
      <c r="AP201" s="53"/>
      <c r="AQ201" s="53"/>
      <c r="AR201" s="85"/>
      <c r="AS201" s="85"/>
      <c r="AT201" s="85"/>
      <c r="AU201" s="85"/>
      <c r="AV201" s="85"/>
      <c r="AW201" s="85"/>
      <c r="AX201" s="85"/>
      <c r="AY201" s="85"/>
      <c r="AZ201" s="85"/>
      <c r="BA201" s="85"/>
      <c r="BB201" s="54"/>
    </row>
    <row r="202" spans="1:84" x14ac:dyDescent="0.2">
      <c r="A202" s="53"/>
      <c r="B202" s="53"/>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c r="AB202" s="53"/>
      <c r="AC202" s="53"/>
      <c r="AD202" s="53"/>
      <c r="AE202" s="85" t="s">
        <v>228</v>
      </c>
      <c r="AF202" s="53"/>
      <c r="AG202" s="53"/>
      <c r="AH202" s="66"/>
      <c r="AI202" s="66"/>
      <c r="AJ202" s="66"/>
      <c r="AK202" s="66"/>
      <c r="AL202" s="66"/>
      <c r="AM202" s="66"/>
      <c r="AN202" s="66"/>
      <c r="AO202" s="66"/>
      <c r="AP202" s="66"/>
      <c r="AQ202" s="66"/>
      <c r="AR202" s="85"/>
      <c r="AS202" s="85"/>
      <c r="AT202" s="85"/>
      <c r="AU202" s="198">
        <f>AE12</f>
        <v>0</v>
      </c>
      <c r="AV202" s="198"/>
      <c r="AW202" s="198"/>
      <c r="AX202" s="198"/>
      <c r="AY202" s="198"/>
      <c r="AZ202" s="198"/>
      <c r="BA202" s="85" t="s">
        <v>5</v>
      </c>
      <c r="BB202" s="54"/>
      <c r="BC202" s="45"/>
      <c r="BD202" s="24"/>
      <c r="BE202" s="24"/>
      <c r="BF202" s="24"/>
      <c r="BG202" s="24"/>
      <c r="BH202" s="24"/>
    </row>
    <row r="203" spans="1:84" ht="9" customHeight="1" x14ac:dyDescent="0.2">
      <c r="A203" s="52"/>
      <c r="B203" s="53"/>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c r="AA203" s="53"/>
      <c r="AB203" s="53"/>
      <c r="AC203" s="53"/>
      <c r="AD203" s="53"/>
      <c r="AE203" s="53"/>
      <c r="AF203" s="53"/>
      <c r="AG203" s="53"/>
      <c r="AH203" s="53"/>
      <c r="AI203" s="53"/>
      <c r="AJ203" s="53"/>
      <c r="AK203" s="53"/>
      <c r="AL203" s="53"/>
      <c r="AM203" s="53"/>
      <c r="AN203" s="53"/>
      <c r="AO203" s="53"/>
      <c r="AP203" s="53"/>
      <c r="AQ203" s="53"/>
      <c r="AR203" s="85"/>
      <c r="AS203" s="85"/>
      <c r="AT203" s="85"/>
      <c r="AU203" s="85"/>
      <c r="AV203" s="85"/>
      <c r="AW203" s="85"/>
      <c r="AX203" s="85"/>
      <c r="AY203" s="85"/>
      <c r="AZ203" s="85"/>
      <c r="BA203" s="85"/>
      <c r="BB203" s="54"/>
    </row>
    <row r="204" spans="1:84" x14ac:dyDescent="0.2">
      <c r="A204" s="52"/>
      <c r="B204" s="53"/>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c r="AB204" s="53"/>
      <c r="AC204" s="53"/>
      <c r="AD204" s="53"/>
      <c r="AE204" s="53" t="s">
        <v>35</v>
      </c>
      <c r="AF204" s="53"/>
      <c r="AG204" s="53"/>
      <c r="AH204" s="53"/>
      <c r="AI204" s="53"/>
      <c r="AJ204" s="53"/>
      <c r="AK204" s="53"/>
      <c r="AL204" s="53"/>
      <c r="AM204" s="53"/>
      <c r="AN204" s="53"/>
      <c r="AO204" s="53"/>
      <c r="AP204" s="53"/>
      <c r="AQ204" s="53"/>
      <c r="AR204" s="85"/>
      <c r="AS204" s="85"/>
      <c r="AT204" s="85"/>
      <c r="AU204" s="198">
        <f>IFERROR(SUM(AU162,AU197),"")</f>
        <v>0</v>
      </c>
      <c r="AV204" s="198"/>
      <c r="AW204" s="198"/>
      <c r="AX204" s="198"/>
      <c r="AY204" s="198"/>
      <c r="AZ204" s="198"/>
      <c r="BA204" s="85" t="s">
        <v>5</v>
      </c>
      <c r="BB204" s="54"/>
    </row>
    <row r="205" spans="1:84" ht="3.75" customHeight="1" x14ac:dyDescent="0.2">
      <c r="A205" s="52"/>
      <c r="B205" s="53"/>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c r="AA205" s="53"/>
      <c r="AB205" s="53"/>
      <c r="AC205" s="53"/>
      <c r="AD205" s="53"/>
      <c r="AE205" s="53"/>
      <c r="AF205" s="53"/>
      <c r="AG205" s="53"/>
      <c r="AH205" s="53"/>
      <c r="AI205" s="53"/>
      <c r="AJ205" s="53"/>
      <c r="AK205" s="53"/>
      <c r="AL205" s="53"/>
      <c r="AM205" s="53"/>
      <c r="AN205" s="53"/>
      <c r="AO205" s="53"/>
      <c r="AP205" s="53"/>
      <c r="AQ205" s="53"/>
      <c r="AR205" s="85"/>
      <c r="AS205" s="85"/>
      <c r="AT205" s="85"/>
      <c r="AU205" s="85"/>
      <c r="AV205" s="85"/>
      <c r="AW205" s="85"/>
      <c r="AX205" s="85"/>
      <c r="AY205" s="85"/>
      <c r="AZ205" s="85"/>
      <c r="BA205" s="85"/>
      <c r="BB205" s="54"/>
    </row>
    <row r="206" spans="1:84" x14ac:dyDescent="0.2">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c r="AB206" s="53"/>
      <c r="AC206" s="53"/>
      <c r="AD206" s="53"/>
      <c r="AE206" s="53" t="s">
        <v>226</v>
      </c>
      <c r="AF206" s="53"/>
      <c r="AG206" s="53"/>
      <c r="AH206" s="53"/>
      <c r="AI206" s="53"/>
      <c r="AJ206" s="53"/>
      <c r="AK206" s="53"/>
      <c r="AL206" s="53"/>
      <c r="AM206" s="53"/>
      <c r="AN206" s="53"/>
      <c r="AO206" s="53"/>
      <c r="AP206" s="53"/>
      <c r="AQ206" s="53"/>
      <c r="AR206" s="85"/>
      <c r="AS206" s="85"/>
      <c r="AT206" s="85"/>
      <c r="AU206" s="198">
        <f>SUM(AV50,AV62,AV72,AV82,AV90,AV108,IF(OR(Standard="",Z106=""),0,Z106),AV129,AV133,AV147,AV157)</f>
        <v>0</v>
      </c>
      <c r="AV206" s="198"/>
      <c r="AW206" s="198"/>
      <c r="AX206" s="198"/>
      <c r="AY206" s="198"/>
      <c r="AZ206" s="198"/>
      <c r="BA206" s="85" t="s">
        <v>5</v>
      </c>
      <c r="BB206" s="54"/>
    </row>
    <row r="207" spans="1:84" ht="9" customHeight="1" x14ac:dyDescent="0.2">
      <c r="A207" s="52"/>
      <c r="B207" s="53"/>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c r="AB207" s="53"/>
      <c r="AC207" s="53"/>
      <c r="AD207" s="53"/>
      <c r="AE207" s="53"/>
      <c r="AF207" s="53"/>
      <c r="AG207" s="53"/>
      <c r="AH207" s="53"/>
      <c r="AI207" s="53"/>
      <c r="AJ207" s="53"/>
      <c r="AK207" s="53"/>
      <c r="AL207" s="53"/>
      <c r="AM207" s="53"/>
      <c r="AN207" s="53"/>
      <c r="AO207" s="53"/>
      <c r="AP207" s="53"/>
      <c r="AQ207" s="53"/>
      <c r="AR207" s="85"/>
      <c r="AS207" s="85"/>
      <c r="AT207" s="85"/>
      <c r="AU207" s="85"/>
      <c r="AV207" s="85"/>
      <c r="AW207" s="85"/>
      <c r="AX207" s="85"/>
      <c r="AY207" s="85"/>
      <c r="AZ207" s="85"/>
      <c r="BA207" s="85"/>
      <c r="BB207" s="54"/>
    </row>
    <row r="208" spans="1:84" ht="14.25" x14ac:dyDescent="0.2">
      <c r="A208" s="52"/>
      <c r="B208" s="53"/>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c r="AB208" s="53"/>
      <c r="AC208" s="53"/>
      <c r="AD208" s="53"/>
      <c r="AE208" s="85" t="s">
        <v>139</v>
      </c>
      <c r="AF208" s="53"/>
      <c r="AG208" s="53"/>
      <c r="AH208" s="53"/>
      <c r="AI208" s="53"/>
      <c r="AJ208" s="53"/>
      <c r="AK208" s="53"/>
      <c r="AL208" s="53"/>
      <c r="AM208" s="53"/>
      <c r="AN208" s="53"/>
      <c r="AO208" s="53"/>
      <c r="AP208" s="53"/>
      <c r="AQ208" s="53"/>
      <c r="AR208" s="85"/>
      <c r="AS208" s="85"/>
      <c r="AT208" s="199" t="str">
        <f>IF(AND(AE10&lt;=SUM(AU162,AU197),AE10&lt;=10000,AE10&gt;0),"Yes",IF(AND(AE8="Yes", (AE10-AU204)&lt;=2000,AU197=0,AE10&gt;0),"Yes (if criteria in footnote #2 are met)","No"))</f>
        <v>No</v>
      </c>
      <c r="AU208" s="199"/>
      <c r="AV208" s="199"/>
      <c r="AW208" s="199"/>
      <c r="AX208" s="199"/>
      <c r="AY208" s="199"/>
      <c r="AZ208" s="199"/>
      <c r="BA208" s="199"/>
      <c r="BB208" s="54"/>
    </row>
    <row r="209" spans="1:54" ht="3.75" customHeight="1" x14ac:dyDescent="0.2">
      <c r="A209" s="52"/>
      <c r="B209" s="53"/>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c r="AB209" s="53"/>
      <c r="AC209" s="53"/>
      <c r="AD209" s="53"/>
      <c r="AE209" s="53"/>
      <c r="AF209" s="53"/>
      <c r="AG209" s="53"/>
      <c r="AH209" s="53"/>
      <c r="AI209" s="53"/>
      <c r="AJ209" s="53"/>
      <c r="AK209" s="53"/>
      <c r="AL209" s="53"/>
      <c r="AM209" s="53"/>
      <c r="AN209" s="53"/>
      <c r="AO209" s="53"/>
      <c r="AP209" s="53"/>
      <c r="AQ209" s="53"/>
      <c r="AR209" s="85"/>
      <c r="AS209" s="85"/>
      <c r="AT209" s="85"/>
      <c r="AU209" s="85"/>
      <c r="AV209" s="85"/>
      <c r="AW209" s="85"/>
      <c r="AX209" s="85"/>
      <c r="AY209" s="85"/>
      <c r="AZ209" s="85"/>
      <c r="BA209" s="85"/>
      <c r="BB209" s="54"/>
    </row>
    <row r="210" spans="1:54" x14ac:dyDescent="0.2">
      <c r="A210" s="52"/>
      <c r="B210" s="53"/>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c r="AA210" s="53"/>
      <c r="AB210" s="53"/>
      <c r="AC210" s="53"/>
      <c r="AD210" s="53"/>
      <c r="AE210" s="85" t="s">
        <v>230</v>
      </c>
      <c r="AF210" s="53"/>
      <c r="AG210" s="53"/>
      <c r="AH210" s="53"/>
      <c r="AI210" s="53"/>
      <c r="AJ210" s="53"/>
      <c r="AK210" s="53"/>
      <c r="AL210" s="53"/>
      <c r="AM210" s="53"/>
      <c r="AN210" s="53"/>
      <c r="AO210" s="53"/>
      <c r="AP210" s="53"/>
      <c r="AQ210" s="53"/>
      <c r="AR210" s="85"/>
      <c r="AS210" s="85"/>
      <c r="AT210" s="199" t="str">
        <f>IF(WQCheck,IF(AND(AU206&gt;=AU202,AE10&gt;0,AE12&gt;0),"Yes","No"),"NA")</f>
        <v>NA</v>
      </c>
      <c r="AU210" s="199"/>
      <c r="AV210" s="199"/>
      <c r="AW210" s="199"/>
      <c r="AX210" s="199"/>
      <c r="AY210" s="199"/>
      <c r="AZ210" s="199"/>
      <c r="BA210" s="199"/>
      <c r="BB210" s="54"/>
    </row>
    <row r="211" spans="1:54" ht="3" customHeight="1" x14ac:dyDescent="0.2">
      <c r="A211" s="55"/>
      <c r="B211" s="56"/>
      <c r="C211" s="56"/>
      <c r="D211" s="56"/>
      <c r="E211" s="56"/>
      <c r="F211" s="56"/>
      <c r="G211" s="56"/>
      <c r="H211" s="56"/>
      <c r="I211" s="56"/>
      <c r="J211" s="56"/>
      <c r="K211" s="56"/>
      <c r="L211" s="56"/>
      <c r="M211" s="56"/>
      <c r="N211" s="56"/>
      <c r="O211" s="56"/>
      <c r="P211" s="56"/>
      <c r="Q211" s="56"/>
      <c r="R211" s="56"/>
      <c r="S211" s="56"/>
      <c r="T211" s="56"/>
      <c r="U211" s="56"/>
      <c r="V211" s="56"/>
      <c r="W211" s="56"/>
      <c r="X211" s="56"/>
      <c r="Y211" s="56"/>
      <c r="Z211" s="56"/>
      <c r="AA211" s="56"/>
      <c r="AB211" s="56"/>
      <c r="AC211" s="56"/>
      <c r="AD211" s="56"/>
      <c r="AE211" s="56"/>
      <c r="AF211" s="56"/>
      <c r="AG211" s="56"/>
      <c r="AH211" s="56"/>
      <c r="AI211" s="56"/>
      <c r="AJ211" s="56"/>
      <c r="AK211" s="56"/>
      <c r="AL211" s="56"/>
      <c r="AM211" s="56"/>
      <c r="AN211" s="56"/>
      <c r="AO211" s="56"/>
      <c r="AP211" s="56"/>
      <c r="AQ211" s="56"/>
      <c r="AR211" s="56"/>
      <c r="AS211" s="56"/>
      <c r="AT211" s="56"/>
      <c r="AU211" s="56"/>
      <c r="AV211" s="56"/>
      <c r="AW211" s="56"/>
      <c r="AX211" s="56"/>
      <c r="AY211" s="56"/>
      <c r="AZ211" s="56"/>
      <c r="BA211" s="56"/>
      <c r="BB211" s="57"/>
    </row>
    <row r="212" spans="1:54" x14ac:dyDescent="0.2">
      <c r="A212" s="3" t="s">
        <v>36</v>
      </c>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5"/>
    </row>
    <row r="213" spans="1:54" x14ac:dyDescent="0.2">
      <c r="A213" s="6"/>
      <c r="B213" s="73" t="s">
        <v>121</v>
      </c>
      <c r="C213" s="73"/>
      <c r="D213" s="73"/>
      <c r="E213" s="73"/>
      <c r="F213" s="73"/>
      <c r="G213" s="73"/>
      <c r="H213" s="73"/>
      <c r="I213" s="73"/>
      <c r="J213" s="73"/>
      <c r="K213" s="73"/>
      <c r="L213" s="73"/>
      <c r="M213" s="73"/>
      <c r="N213" s="73"/>
      <c r="O213" s="73"/>
      <c r="P213" s="73"/>
      <c r="Q213" s="73"/>
      <c r="R213" s="73"/>
      <c r="S213" s="73"/>
      <c r="T213" s="73"/>
      <c r="U213" s="73"/>
      <c r="V213" s="73"/>
      <c r="W213" s="73"/>
      <c r="X213" s="73"/>
      <c r="Y213" s="73"/>
      <c r="Z213" s="73"/>
      <c r="AA213" s="73"/>
      <c r="AB213" s="73"/>
      <c r="AC213" s="73"/>
      <c r="AD213" s="73"/>
      <c r="AE213" s="73"/>
      <c r="AF213" s="73"/>
      <c r="AG213" s="73"/>
      <c r="AH213" s="73"/>
      <c r="AI213" s="73"/>
      <c r="AJ213" s="73"/>
      <c r="AK213" s="73"/>
      <c r="AL213" s="73"/>
      <c r="AM213" s="73"/>
      <c r="AN213" s="73"/>
      <c r="AO213" s="73"/>
      <c r="AP213" s="73"/>
      <c r="AQ213" s="73"/>
      <c r="AR213" s="73"/>
      <c r="AS213" s="73"/>
      <c r="AT213" s="73"/>
      <c r="AU213" s="73"/>
      <c r="AV213" s="73"/>
      <c r="AW213" s="73"/>
      <c r="AX213" s="73"/>
      <c r="AY213" s="73"/>
      <c r="AZ213" s="73"/>
      <c r="BA213" s="73"/>
      <c r="BB213" s="8"/>
    </row>
    <row r="214" spans="1:54" x14ac:dyDescent="0.2">
      <c r="A214" s="6"/>
      <c r="B214" s="196" t="s">
        <v>141</v>
      </c>
      <c r="C214" s="196"/>
      <c r="D214" s="196"/>
      <c r="E214" s="196"/>
      <c r="F214" s="196"/>
      <c r="G214" s="196"/>
      <c r="H214" s="196"/>
      <c r="I214" s="196"/>
      <c r="J214" s="196"/>
      <c r="K214" s="196"/>
      <c r="L214" s="196"/>
      <c r="M214" s="196"/>
      <c r="N214" s="196"/>
      <c r="O214" s="196"/>
      <c r="P214" s="196"/>
      <c r="Q214" s="196"/>
      <c r="R214" s="196"/>
      <c r="S214" s="196"/>
      <c r="T214" s="196"/>
      <c r="U214" s="196"/>
      <c r="V214" s="196"/>
      <c r="W214" s="196"/>
      <c r="X214" s="196"/>
      <c r="Y214" s="196"/>
      <c r="Z214" s="196"/>
      <c r="AA214" s="196"/>
      <c r="AB214" s="196"/>
      <c r="AC214" s="196"/>
      <c r="AD214" s="196"/>
      <c r="AE214" s="196"/>
      <c r="AF214" s="196"/>
      <c r="AG214" s="196"/>
      <c r="AH214" s="196"/>
      <c r="AI214" s="196"/>
      <c r="AJ214" s="196"/>
      <c r="AK214" s="196"/>
      <c r="AL214" s="196"/>
      <c r="AM214" s="196"/>
      <c r="AN214" s="196"/>
      <c r="AO214" s="196"/>
      <c r="AP214" s="196"/>
      <c r="AQ214" s="196"/>
      <c r="AR214" s="196"/>
      <c r="AS214" s="196"/>
      <c r="AT214" s="196"/>
      <c r="AU214" s="196"/>
      <c r="AV214" s="196"/>
      <c r="AW214" s="196"/>
      <c r="AX214" s="196"/>
      <c r="AY214" s="196"/>
      <c r="AZ214" s="196"/>
      <c r="BA214" s="196"/>
      <c r="BB214" s="8"/>
    </row>
    <row r="215" spans="1:54" x14ac:dyDescent="0.2">
      <c r="A215" s="6"/>
      <c r="B215" s="196"/>
      <c r="C215" s="196"/>
      <c r="D215" s="196"/>
      <c r="E215" s="196"/>
      <c r="F215" s="196"/>
      <c r="G215" s="196"/>
      <c r="H215" s="196"/>
      <c r="I215" s="196"/>
      <c r="J215" s="196"/>
      <c r="K215" s="196"/>
      <c r="L215" s="196"/>
      <c r="M215" s="196"/>
      <c r="N215" s="196"/>
      <c r="O215" s="196"/>
      <c r="P215" s="196"/>
      <c r="Q215" s="196"/>
      <c r="R215" s="196"/>
      <c r="S215" s="196"/>
      <c r="T215" s="196"/>
      <c r="U215" s="196"/>
      <c r="V215" s="196"/>
      <c r="W215" s="196"/>
      <c r="X215" s="196"/>
      <c r="Y215" s="196"/>
      <c r="Z215" s="196"/>
      <c r="AA215" s="196"/>
      <c r="AB215" s="196"/>
      <c r="AC215" s="196"/>
      <c r="AD215" s="196"/>
      <c r="AE215" s="196"/>
      <c r="AF215" s="196"/>
      <c r="AG215" s="196"/>
      <c r="AH215" s="196"/>
      <c r="AI215" s="196"/>
      <c r="AJ215" s="196"/>
      <c r="AK215" s="196"/>
      <c r="AL215" s="196"/>
      <c r="AM215" s="196"/>
      <c r="AN215" s="196"/>
      <c r="AO215" s="196"/>
      <c r="AP215" s="196"/>
      <c r="AQ215" s="196"/>
      <c r="AR215" s="196"/>
      <c r="AS215" s="196"/>
      <c r="AT215" s="196"/>
      <c r="AU215" s="196"/>
      <c r="AV215" s="196"/>
      <c r="AW215" s="196"/>
      <c r="AX215" s="196"/>
      <c r="AY215" s="196"/>
      <c r="AZ215" s="196"/>
      <c r="BA215" s="196"/>
      <c r="BB215" s="8"/>
    </row>
    <row r="216" spans="1:54" x14ac:dyDescent="0.2">
      <c r="A216" s="6"/>
      <c r="B216" s="196"/>
      <c r="C216" s="196"/>
      <c r="D216" s="196"/>
      <c r="E216" s="196"/>
      <c r="F216" s="196"/>
      <c r="G216" s="196"/>
      <c r="H216" s="196"/>
      <c r="I216" s="196"/>
      <c r="J216" s="196"/>
      <c r="K216" s="196"/>
      <c r="L216" s="196"/>
      <c r="M216" s="196"/>
      <c r="N216" s="196"/>
      <c r="O216" s="196"/>
      <c r="P216" s="196"/>
      <c r="Q216" s="196"/>
      <c r="R216" s="196"/>
      <c r="S216" s="196"/>
      <c r="T216" s="196"/>
      <c r="U216" s="196"/>
      <c r="V216" s="196"/>
      <c r="W216" s="196"/>
      <c r="X216" s="196"/>
      <c r="Y216" s="196"/>
      <c r="Z216" s="196"/>
      <c r="AA216" s="196"/>
      <c r="AB216" s="196"/>
      <c r="AC216" s="196"/>
      <c r="AD216" s="196"/>
      <c r="AE216" s="196"/>
      <c r="AF216" s="196"/>
      <c r="AG216" s="196"/>
      <c r="AH216" s="196"/>
      <c r="AI216" s="196"/>
      <c r="AJ216" s="196"/>
      <c r="AK216" s="196"/>
      <c r="AL216" s="196"/>
      <c r="AM216" s="196"/>
      <c r="AN216" s="196"/>
      <c r="AO216" s="196"/>
      <c r="AP216" s="196"/>
      <c r="AQ216" s="196"/>
      <c r="AR216" s="196"/>
      <c r="AS216" s="196"/>
      <c r="AT216" s="196"/>
      <c r="AU216" s="196"/>
      <c r="AV216" s="196"/>
      <c r="AW216" s="196"/>
      <c r="AX216" s="196"/>
      <c r="AY216" s="196"/>
      <c r="AZ216" s="196"/>
      <c r="BA216" s="196"/>
      <c r="BB216" s="8"/>
    </row>
    <row r="217" spans="1:54" x14ac:dyDescent="0.2">
      <c r="A217" s="6"/>
      <c r="B217" s="170" t="s">
        <v>233</v>
      </c>
      <c r="C217" s="170"/>
      <c r="D217" s="170"/>
      <c r="E217" s="170"/>
      <c r="F217" s="170"/>
      <c r="G217" s="170"/>
      <c r="H217" s="170"/>
      <c r="I217" s="170"/>
      <c r="J217" s="170"/>
      <c r="K217" s="170"/>
      <c r="L217" s="170"/>
      <c r="M217" s="170"/>
      <c r="N217" s="170"/>
      <c r="O217" s="170"/>
      <c r="P217" s="170"/>
      <c r="Q217" s="170"/>
      <c r="R217" s="170"/>
      <c r="S217" s="170"/>
      <c r="T217" s="170"/>
      <c r="U217" s="170"/>
      <c r="V217" s="170"/>
      <c r="W217" s="170"/>
      <c r="X217" s="170"/>
      <c r="Y217" s="170"/>
      <c r="Z217" s="170"/>
      <c r="AA217" s="170"/>
      <c r="AB217" s="170"/>
      <c r="AC217" s="170"/>
      <c r="AD217" s="170"/>
      <c r="AE217" s="170"/>
      <c r="AF217" s="170"/>
      <c r="AG217" s="170"/>
      <c r="AH217" s="170"/>
      <c r="AI217" s="170"/>
      <c r="AJ217" s="170"/>
      <c r="AK217" s="170"/>
      <c r="AL217" s="170"/>
      <c r="AM217" s="170"/>
      <c r="AN217" s="170"/>
      <c r="AO217" s="170"/>
      <c r="AP217" s="170"/>
      <c r="AQ217" s="170"/>
      <c r="AR217" s="170"/>
      <c r="AS217" s="170"/>
      <c r="AT217" s="170"/>
      <c r="AU217" s="170"/>
      <c r="AV217" s="170"/>
      <c r="AW217" s="170"/>
      <c r="AX217" s="170"/>
      <c r="AY217" s="170"/>
      <c r="AZ217" s="170"/>
      <c r="BA217" s="170"/>
      <c r="BB217" s="8"/>
    </row>
    <row r="218" spans="1:54" x14ac:dyDescent="0.2">
      <c r="A218" s="6"/>
      <c r="B218" s="170"/>
      <c r="C218" s="170"/>
      <c r="D218" s="170"/>
      <c r="E218" s="170"/>
      <c r="F218" s="170"/>
      <c r="G218" s="170"/>
      <c r="H218" s="170"/>
      <c r="I218" s="170"/>
      <c r="J218" s="170"/>
      <c r="K218" s="170"/>
      <c r="L218" s="170"/>
      <c r="M218" s="170"/>
      <c r="N218" s="170"/>
      <c r="O218" s="170"/>
      <c r="P218" s="170"/>
      <c r="Q218" s="170"/>
      <c r="R218" s="170"/>
      <c r="S218" s="170"/>
      <c r="T218" s="170"/>
      <c r="U218" s="170"/>
      <c r="V218" s="170"/>
      <c r="W218" s="170"/>
      <c r="X218" s="170"/>
      <c r="Y218" s="170"/>
      <c r="Z218" s="170"/>
      <c r="AA218" s="170"/>
      <c r="AB218" s="170"/>
      <c r="AC218" s="170"/>
      <c r="AD218" s="170"/>
      <c r="AE218" s="170"/>
      <c r="AF218" s="170"/>
      <c r="AG218" s="170"/>
      <c r="AH218" s="170"/>
      <c r="AI218" s="170"/>
      <c r="AJ218" s="170"/>
      <c r="AK218" s="170"/>
      <c r="AL218" s="170"/>
      <c r="AM218" s="170"/>
      <c r="AN218" s="170"/>
      <c r="AO218" s="170"/>
      <c r="AP218" s="170"/>
      <c r="AQ218" s="170"/>
      <c r="AR218" s="170"/>
      <c r="AS218" s="170"/>
      <c r="AT218" s="170"/>
      <c r="AU218" s="170"/>
      <c r="AV218" s="170"/>
      <c r="AW218" s="170"/>
      <c r="AX218" s="170"/>
      <c r="AY218" s="170"/>
      <c r="AZ218" s="170"/>
      <c r="BA218" s="170"/>
      <c r="BB218" s="8"/>
    </row>
    <row r="219" spans="1:54" x14ac:dyDescent="0.2">
      <c r="A219" s="6"/>
      <c r="B219" s="170"/>
      <c r="C219" s="170"/>
      <c r="D219" s="170"/>
      <c r="E219" s="170"/>
      <c r="F219" s="170"/>
      <c r="G219" s="170"/>
      <c r="H219" s="170"/>
      <c r="I219" s="170"/>
      <c r="J219" s="170"/>
      <c r="K219" s="170"/>
      <c r="L219" s="170"/>
      <c r="M219" s="170"/>
      <c r="N219" s="170"/>
      <c r="O219" s="170"/>
      <c r="P219" s="170"/>
      <c r="Q219" s="170"/>
      <c r="R219" s="170"/>
      <c r="S219" s="170"/>
      <c r="T219" s="170"/>
      <c r="U219" s="170"/>
      <c r="V219" s="170"/>
      <c r="W219" s="170"/>
      <c r="X219" s="170"/>
      <c r="Y219" s="170"/>
      <c r="Z219" s="170"/>
      <c r="AA219" s="170"/>
      <c r="AB219" s="170"/>
      <c r="AC219" s="170"/>
      <c r="AD219" s="170"/>
      <c r="AE219" s="170"/>
      <c r="AF219" s="170"/>
      <c r="AG219" s="170"/>
      <c r="AH219" s="170"/>
      <c r="AI219" s="170"/>
      <c r="AJ219" s="170"/>
      <c r="AK219" s="170"/>
      <c r="AL219" s="170"/>
      <c r="AM219" s="170"/>
      <c r="AN219" s="170"/>
      <c r="AO219" s="170"/>
      <c r="AP219" s="170"/>
      <c r="AQ219" s="170"/>
      <c r="AR219" s="170"/>
      <c r="AS219" s="170"/>
      <c r="AT219" s="170"/>
      <c r="AU219" s="170"/>
      <c r="AV219" s="170"/>
      <c r="AW219" s="170"/>
      <c r="AX219" s="170"/>
      <c r="AY219" s="170"/>
      <c r="AZ219" s="170"/>
      <c r="BA219" s="170"/>
      <c r="BB219" s="8"/>
    </row>
    <row r="220" spans="1:54" x14ac:dyDescent="0.2">
      <c r="A220" s="6"/>
      <c r="B220" s="170" t="s">
        <v>237</v>
      </c>
      <c r="C220" s="170"/>
      <c r="D220" s="170"/>
      <c r="E220" s="170"/>
      <c r="F220" s="170"/>
      <c r="G220" s="170"/>
      <c r="H220" s="170"/>
      <c r="I220" s="170"/>
      <c r="J220" s="170"/>
      <c r="K220" s="170"/>
      <c r="L220" s="170"/>
      <c r="M220" s="170"/>
      <c r="N220" s="170"/>
      <c r="O220" s="170"/>
      <c r="P220" s="170"/>
      <c r="Q220" s="170"/>
      <c r="R220" s="170"/>
      <c r="S220" s="170"/>
      <c r="T220" s="170"/>
      <c r="U220" s="170"/>
      <c r="V220" s="170"/>
      <c r="W220" s="170"/>
      <c r="X220" s="170"/>
      <c r="Y220" s="170"/>
      <c r="Z220" s="170"/>
      <c r="AA220" s="170"/>
      <c r="AB220" s="170"/>
      <c r="AC220" s="170"/>
      <c r="AD220" s="170"/>
      <c r="AE220" s="170"/>
      <c r="AF220" s="170"/>
      <c r="AG220" s="170"/>
      <c r="AH220" s="170"/>
      <c r="AI220" s="170"/>
      <c r="AJ220" s="170"/>
      <c r="AK220" s="170"/>
      <c r="AL220" s="170"/>
      <c r="AM220" s="170"/>
      <c r="AN220" s="170"/>
      <c r="AO220" s="170"/>
      <c r="AP220" s="170"/>
      <c r="AQ220" s="170"/>
      <c r="AR220" s="170"/>
      <c r="AS220" s="170"/>
      <c r="AT220" s="170"/>
      <c r="AU220" s="170"/>
      <c r="AV220" s="170"/>
      <c r="AW220" s="170"/>
      <c r="AX220" s="170"/>
      <c r="AY220" s="170"/>
      <c r="AZ220" s="170"/>
      <c r="BA220" s="170"/>
      <c r="BB220" s="8"/>
    </row>
    <row r="221" spans="1:54" x14ac:dyDescent="0.2">
      <c r="A221" s="6"/>
      <c r="B221" s="170"/>
      <c r="C221" s="170"/>
      <c r="D221" s="170"/>
      <c r="E221" s="170"/>
      <c r="F221" s="170"/>
      <c r="G221" s="170"/>
      <c r="H221" s="170"/>
      <c r="I221" s="170"/>
      <c r="J221" s="170"/>
      <c r="K221" s="170"/>
      <c r="L221" s="170"/>
      <c r="M221" s="170"/>
      <c r="N221" s="170"/>
      <c r="O221" s="170"/>
      <c r="P221" s="170"/>
      <c r="Q221" s="170"/>
      <c r="R221" s="170"/>
      <c r="S221" s="170"/>
      <c r="T221" s="170"/>
      <c r="U221" s="170"/>
      <c r="V221" s="170"/>
      <c r="W221" s="170"/>
      <c r="X221" s="170"/>
      <c r="Y221" s="170"/>
      <c r="Z221" s="170"/>
      <c r="AA221" s="170"/>
      <c r="AB221" s="170"/>
      <c r="AC221" s="170"/>
      <c r="AD221" s="170"/>
      <c r="AE221" s="170"/>
      <c r="AF221" s="170"/>
      <c r="AG221" s="170"/>
      <c r="AH221" s="170"/>
      <c r="AI221" s="170"/>
      <c r="AJ221" s="170"/>
      <c r="AK221" s="170"/>
      <c r="AL221" s="170"/>
      <c r="AM221" s="170"/>
      <c r="AN221" s="170"/>
      <c r="AO221" s="170"/>
      <c r="AP221" s="170"/>
      <c r="AQ221" s="170"/>
      <c r="AR221" s="170"/>
      <c r="AS221" s="170"/>
      <c r="AT221" s="170"/>
      <c r="AU221" s="170"/>
      <c r="AV221" s="170"/>
      <c r="AW221" s="170"/>
      <c r="AX221" s="170"/>
      <c r="AY221" s="170"/>
      <c r="AZ221" s="170"/>
      <c r="BA221" s="170"/>
      <c r="BB221" s="8"/>
    </row>
    <row r="222" spans="1:54" ht="12" customHeight="1" x14ac:dyDescent="0.2">
      <c r="A222" s="6"/>
      <c r="B222" s="170" t="s">
        <v>240</v>
      </c>
      <c r="C222" s="170"/>
      <c r="D222" s="170"/>
      <c r="E222" s="170"/>
      <c r="F222" s="170"/>
      <c r="G222" s="170"/>
      <c r="H222" s="170"/>
      <c r="I222" s="170"/>
      <c r="J222" s="170"/>
      <c r="K222" s="170"/>
      <c r="L222" s="170"/>
      <c r="M222" s="170"/>
      <c r="N222" s="170"/>
      <c r="O222" s="170"/>
      <c r="P222" s="170"/>
      <c r="Q222" s="170"/>
      <c r="R222" s="170"/>
      <c r="S222" s="170"/>
      <c r="T222" s="170"/>
      <c r="U222" s="170"/>
      <c r="V222" s="170"/>
      <c r="W222" s="170"/>
      <c r="X222" s="170"/>
      <c r="Y222" s="170"/>
      <c r="Z222" s="170"/>
      <c r="AA222" s="170"/>
      <c r="AB222" s="170"/>
      <c r="AC222" s="170"/>
      <c r="AD222" s="170"/>
      <c r="AE222" s="170"/>
      <c r="AF222" s="170"/>
      <c r="AG222" s="170"/>
      <c r="AH222" s="170"/>
      <c r="AI222" s="170"/>
      <c r="AJ222" s="170"/>
      <c r="AK222" s="170"/>
      <c r="AL222" s="170"/>
      <c r="AM222" s="170"/>
      <c r="AN222" s="170"/>
      <c r="AO222" s="170"/>
      <c r="AP222" s="170"/>
      <c r="AQ222" s="170"/>
      <c r="AR222" s="170"/>
      <c r="AS222" s="170"/>
      <c r="AT222" s="170"/>
      <c r="AU222" s="170"/>
      <c r="AV222" s="170"/>
      <c r="AW222" s="170"/>
      <c r="AX222" s="170"/>
      <c r="AY222" s="170"/>
      <c r="AZ222" s="170"/>
      <c r="BA222" s="170"/>
      <c r="BB222" s="8"/>
    </row>
    <row r="223" spans="1:54" x14ac:dyDescent="0.2">
      <c r="A223" s="6"/>
      <c r="B223" s="170"/>
      <c r="C223" s="170"/>
      <c r="D223" s="170"/>
      <c r="E223" s="170"/>
      <c r="F223" s="170"/>
      <c r="G223" s="170"/>
      <c r="H223" s="170"/>
      <c r="I223" s="170"/>
      <c r="J223" s="170"/>
      <c r="K223" s="170"/>
      <c r="L223" s="170"/>
      <c r="M223" s="170"/>
      <c r="N223" s="170"/>
      <c r="O223" s="170"/>
      <c r="P223" s="170"/>
      <c r="Q223" s="170"/>
      <c r="R223" s="170"/>
      <c r="S223" s="170"/>
      <c r="T223" s="170"/>
      <c r="U223" s="170"/>
      <c r="V223" s="170"/>
      <c r="W223" s="170"/>
      <c r="X223" s="170"/>
      <c r="Y223" s="170"/>
      <c r="Z223" s="170"/>
      <c r="AA223" s="170"/>
      <c r="AB223" s="170"/>
      <c r="AC223" s="170"/>
      <c r="AD223" s="170"/>
      <c r="AE223" s="170"/>
      <c r="AF223" s="170"/>
      <c r="AG223" s="170"/>
      <c r="AH223" s="170"/>
      <c r="AI223" s="170"/>
      <c r="AJ223" s="170"/>
      <c r="AK223" s="170"/>
      <c r="AL223" s="170"/>
      <c r="AM223" s="170"/>
      <c r="AN223" s="170"/>
      <c r="AO223" s="170"/>
      <c r="AP223" s="170"/>
      <c r="AQ223" s="170"/>
      <c r="AR223" s="170"/>
      <c r="AS223" s="170"/>
      <c r="AT223" s="170"/>
      <c r="AU223" s="170"/>
      <c r="AV223" s="170"/>
      <c r="AW223" s="170"/>
      <c r="AX223" s="170"/>
      <c r="AY223" s="170"/>
      <c r="AZ223" s="170"/>
      <c r="BA223" s="170"/>
      <c r="BB223" s="8"/>
    </row>
    <row r="224" spans="1:54" ht="3.75" customHeight="1" x14ac:dyDescent="0.2">
      <c r="A224" s="6"/>
      <c r="B224" s="64"/>
      <c r="C224" s="7"/>
      <c r="D224" s="7"/>
      <c r="E224" s="7"/>
      <c r="F224" s="7"/>
      <c r="G224" s="7"/>
      <c r="H224" s="7"/>
      <c r="I224" s="7"/>
      <c r="J224" s="7"/>
      <c r="K224" s="7"/>
      <c r="L224" s="7"/>
      <c r="M224" s="7"/>
      <c r="N224" s="7"/>
      <c r="O224" s="7"/>
      <c r="P224" s="7"/>
      <c r="Q224" s="7"/>
      <c r="R224" s="7"/>
      <c r="S224" s="64"/>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8"/>
    </row>
    <row r="225" spans="1:54" x14ac:dyDescent="0.2">
      <c r="A225" s="6"/>
      <c r="B225" s="73" t="s">
        <v>122</v>
      </c>
      <c r="C225" s="73"/>
      <c r="D225" s="73"/>
      <c r="E225" s="73"/>
      <c r="F225" s="73"/>
      <c r="G225" s="73"/>
      <c r="H225" s="73"/>
      <c r="I225" s="73"/>
      <c r="J225" s="73"/>
      <c r="K225" s="73"/>
      <c r="L225" s="73"/>
      <c r="M225" s="73"/>
      <c r="N225" s="73"/>
      <c r="O225" s="73"/>
      <c r="P225" s="73"/>
      <c r="Q225" s="73"/>
      <c r="R225" s="73"/>
      <c r="S225" s="73" t="s">
        <v>123</v>
      </c>
      <c r="T225" s="73"/>
      <c r="U225" s="73"/>
      <c r="V225" s="73"/>
      <c r="W225" s="73"/>
      <c r="X225" s="73"/>
      <c r="Y225" s="73"/>
      <c r="Z225" s="73"/>
      <c r="AA225" s="73"/>
      <c r="AB225" s="73"/>
      <c r="AC225" s="73"/>
      <c r="AD225" s="73"/>
      <c r="AE225" s="73"/>
      <c r="AF225" s="73"/>
      <c r="AG225" s="73"/>
      <c r="AH225" s="73"/>
      <c r="AI225" s="73"/>
      <c r="AJ225" s="73"/>
      <c r="AK225" s="73"/>
      <c r="AL225" s="73"/>
      <c r="AM225" s="73"/>
      <c r="AN225" s="73"/>
      <c r="AO225" s="73"/>
      <c r="AP225" s="73"/>
      <c r="AQ225" s="73"/>
      <c r="AR225" s="73"/>
      <c r="AS225" s="73"/>
      <c r="AT225" s="73"/>
      <c r="AU225" s="73"/>
      <c r="AV225" s="73"/>
      <c r="AW225" s="73"/>
      <c r="AX225" s="73"/>
      <c r="AY225" s="73"/>
      <c r="AZ225" s="73"/>
      <c r="BA225" s="73"/>
      <c r="BB225" s="8"/>
    </row>
    <row r="226" spans="1:54" x14ac:dyDescent="0.2">
      <c r="A226" s="6"/>
      <c r="B226" s="7" t="s">
        <v>37</v>
      </c>
      <c r="C226" s="7"/>
      <c r="D226" s="7"/>
      <c r="E226" s="7"/>
      <c r="F226" s="7"/>
      <c r="G226" s="7"/>
      <c r="H226" s="7"/>
      <c r="I226" s="7"/>
      <c r="J226" s="7"/>
      <c r="K226" s="7"/>
      <c r="L226" s="7"/>
      <c r="M226" s="7"/>
      <c r="N226" s="7" t="s">
        <v>38</v>
      </c>
      <c r="O226" s="7"/>
      <c r="P226" s="7"/>
      <c r="Q226" s="7"/>
      <c r="R226" s="7"/>
      <c r="S226" s="7"/>
      <c r="T226" s="7"/>
      <c r="U226" s="7"/>
      <c r="V226" s="7"/>
      <c r="W226" s="7"/>
      <c r="X226" s="7"/>
      <c r="Y226" s="7"/>
      <c r="Z226" s="7"/>
      <c r="AA226" s="7"/>
      <c r="AB226" s="7"/>
      <c r="AC226" s="7" t="s">
        <v>39</v>
      </c>
      <c r="AD226" s="7"/>
      <c r="AE226" s="7"/>
      <c r="AF226" s="7"/>
      <c r="AG226" s="7"/>
      <c r="AH226" s="7"/>
      <c r="AI226" s="7"/>
      <c r="AJ226" s="7"/>
      <c r="AK226" s="7"/>
      <c r="AL226" s="7"/>
      <c r="AM226" s="7"/>
      <c r="AN226" s="7"/>
      <c r="AO226" s="7" t="s">
        <v>40</v>
      </c>
      <c r="AP226" s="7"/>
      <c r="AQ226" s="7"/>
      <c r="AR226" s="7"/>
      <c r="AS226" s="7"/>
      <c r="AT226" s="7"/>
      <c r="AU226" s="7"/>
      <c r="AV226" s="7"/>
      <c r="AW226" s="7"/>
      <c r="AX226" s="7"/>
      <c r="AY226" s="7"/>
      <c r="AZ226" s="7"/>
      <c r="BA226" s="7"/>
      <c r="BB226" s="8"/>
    </row>
    <row r="227" spans="1:54" x14ac:dyDescent="0.2">
      <c r="A227" s="6"/>
      <c r="B227" s="7" t="s">
        <v>50</v>
      </c>
      <c r="C227" s="7"/>
      <c r="D227" s="7"/>
      <c r="E227" s="7"/>
      <c r="F227" s="7"/>
      <c r="G227" s="7"/>
      <c r="H227" s="7"/>
      <c r="I227" s="7"/>
      <c r="J227" s="7"/>
      <c r="K227" s="7"/>
      <c r="L227" s="7"/>
      <c r="M227" s="7"/>
      <c r="N227" s="7" t="s">
        <v>64</v>
      </c>
      <c r="O227" s="7"/>
      <c r="P227" s="7"/>
      <c r="Q227" s="7"/>
      <c r="R227" s="7"/>
      <c r="S227" s="7"/>
      <c r="T227" s="7"/>
      <c r="U227" s="7"/>
      <c r="V227" s="7"/>
      <c r="W227" s="7"/>
      <c r="X227" s="7"/>
      <c r="Y227" s="7"/>
      <c r="Z227" s="7"/>
      <c r="AA227" s="7"/>
      <c r="AB227" s="7"/>
      <c r="AC227" s="7" t="s">
        <v>103</v>
      </c>
      <c r="AD227" s="7"/>
      <c r="AE227" s="7"/>
      <c r="AF227" s="7"/>
      <c r="AG227" s="7"/>
      <c r="AH227" s="7"/>
      <c r="AI227" s="7"/>
      <c r="AJ227" s="7"/>
      <c r="AK227" s="7"/>
      <c r="AL227" s="7"/>
      <c r="AM227" s="7"/>
      <c r="AN227" s="7"/>
      <c r="AO227" s="7" t="s">
        <v>225</v>
      </c>
      <c r="AP227" s="7"/>
      <c r="AQ227" s="7"/>
      <c r="AR227" s="7"/>
      <c r="AS227" s="7"/>
      <c r="AT227" s="7"/>
      <c r="AU227" s="7"/>
      <c r="AV227" s="7"/>
      <c r="AW227" s="7"/>
      <c r="AX227" s="7"/>
      <c r="AY227" s="7"/>
      <c r="AZ227" s="7"/>
      <c r="BA227" s="7"/>
      <c r="BB227" s="8"/>
    </row>
    <row r="228" spans="1:54" ht="3.75" customHeight="1" x14ac:dyDescent="0.2">
      <c r="A228" s="10"/>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2"/>
    </row>
  </sheetData>
  <sheetProtection algorithmName="SHA-512" hashValue="CEd05bW/rvu5d9CMGP7osOPJhesvlXevPz64LMsu9k6v/xVosquaMy2MJpiLBLbMHkgfygxA5WBJZ4nH4N7bvQ==" saltValue="j0hL2nO2HIvmNjWamVl7rA==" spinCount="100000" sheet="1" selectLockedCells="1"/>
  <dataConsolidate/>
  <mergeCells count="188">
    <mergeCell ref="AE12:AL12"/>
    <mergeCell ref="AV172:AZ172"/>
    <mergeCell ref="AT210:BA210"/>
    <mergeCell ref="AE16:AL16"/>
    <mergeCell ref="AU206:AZ206"/>
    <mergeCell ref="AV50:AZ50"/>
    <mergeCell ref="AV62:AZ62"/>
    <mergeCell ref="AV72:AZ72"/>
    <mergeCell ref="AV82:AZ82"/>
    <mergeCell ref="Q94:AZ94"/>
    <mergeCell ref="AV90:AZ90"/>
    <mergeCell ref="Q100:AZ100"/>
    <mergeCell ref="AV108:AZ108"/>
    <mergeCell ref="AV147:AZ147"/>
    <mergeCell ref="AV157:AZ157"/>
    <mergeCell ref="AU202:AZ202"/>
    <mergeCell ref="AU200:AZ200"/>
    <mergeCell ref="AV129:AZ129"/>
    <mergeCell ref="AV133:AZ133"/>
    <mergeCell ref="AH168:AR170"/>
    <mergeCell ref="AV180:AZ180"/>
    <mergeCell ref="AV170:AZ170"/>
    <mergeCell ref="AH184:AR186"/>
    <mergeCell ref="AV182:AZ182"/>
    <mergeCell ref="K192:N192"/>
    <mergeCell ref="Z192:AC192"/>
    <mergeCell ref="K48:N48"/>
    <mergeCell ref="K52:N52"/>
    <mergeCell ref="K56:N56"/>
    <mergeCell ref="K54:N54"/>
    <mergeCell ref="K92:N92"/>
    <mergeCell ref="K88:N88"/>
    <mergeCell ref="K94:N94"/>
    <mergeCell ref="Z127:AC127"/>
    <mergeCell ref="K106:N106"/>
    <mergeCell ref="K98:N98"/>
    <mergeCell ref="K102:N102"/>
    <mergeCell ref="K100:N100"/>
    <mergeCell ref="Z80:AC80"/>
    <mergeCell ref="K70:N70"/>
    <mergeCell ref="K74:N74"/>
    <mergeCell ref="K76:N76"/>
    <mergeCell ref="K60:N60"/>
    <mergeCell ref="K64:N64"/>
    <mergeCell ref="K66:N66"/>
    <mergeCell ref="K80:N80"/>
    <mergeCell ref="K108:N108"/>
    <mergeCell ref="AV188:AZ188"/>
    <mergeCell ref="K186:N186"/>
    <mergeCell ref="K182:N182"/>
    <mergeCell ref="Q182:AG184"/>
    <mergeCell ref="Q188:AG190"/>
    <mergeCell ref="K170:N170"/>
    <mergeCell ref="Z170:AC170"/>
    <mergeCell ref="K188:N188"/>
    <mergeCell ref="Z186:AC186"/>
    <mergeCell ref="K180:N180"/>
    <mergeCell ref="Z180:AC180"/>
    <mergeCell ref="AH164:AR164"/>
    <mergeCell ref="AH139:AR139"/>
    <mergeCell ref="AH118:AR118"/>
    <mergeCell ref="K159:N159"/>
    <mergeCell ref="AH142:AR145"/>
    <mergeCell ref="AH152:AR155"/>
    <mergeCell ref="K145:N145"/>
    <mergeCell ref="Z145:AC145"/>
    <mergeCell ref="AV145:AZ145"/>
    <mergeCell ref="K149:N149"/>
    <mergeCell ref="K151:N151"/>
    <mergeCell ref="K155:N155"/>
    <mergeCell ref="Z155:AC155"/>
    <mergeCell ref="AV155:AZ155"/>
    <mergeCell ref="AU162:AZ162"/>
    <mergeCell ref="Z137:AC137"/>
    <mergeCell ref="AV164:BA164"/>
    <mergeCell ref="AV139:BA139"/>
    <mergeCell ref="AV118:BA118"/>
    <mergeCell ref="B4:BA5"/>
    <mergeCell ref="B214:BA216"/>
    <mergeCell ref="AH137:AR137"/>
    <mergeCell ref="AH127:AR127"/>
    <mergeCell ref="AV127:AZ127"/>
    <mergeCell ref="AV131:AZ131"/>
    <mergeCell ref="AV137:AZ137"/>
    <mergeCell ref="AV110:AZ110"/>
    <mergeCell ref="AU204:AZ204"/>
    <mergeCell ref="Z131:AC131"/>
    <mergeCell ref="AH131:AR131"/>
    <mergeCell ref="AV116:AZ116"/>
    <mergeCell ref="K194:N194"/>
    <mergeCell ref="AT208:BA208"/>
    <mergeCell ref="Q194:AG194"/>
    <mergeCell ref="R124:U124"/>
    <mergeCell ref="AV194:AZ194"/>
    <mergeCell ref="D124:Q125"/>
    <mergeCell ref="AV192:AZ192"/>
    <mergeCell ref="K174:N174"/>
    <mergeCell ref="AH178:AR180"/>
    <mergeCell ref="AH190:AR192"/>
    <mergeCell ref="AV186:AZ186"/>
    <mergeCell ref="AU197:AZ197"/>
    <mergeCell ref="A1:BB1"/>
    <mergeCell ref="Z22:AC22"/>
    <mergeCell ref="N22:Q22"/>
    <mergeCell ref="N24:Q24"/>
    <mergeCell ref="L22:M22"/>
    <mergeCell ref="L24:M24"/>
    <mergeCell ref="AV88:AZ88"/>
    <mergeCell ref="Z88:AC88"/>
    <mergeCell ref="AH86:AR88"/>
    <mergeCell ref="AV32:AZ32"/>
    <mergeCell ref="Z36:AC36"/>
    <mergeCell ref="AH36:AR36"/>
    <mergeCell ref="AV36:AZ36"/>
    <mergeCell ref="A2:G2"/>
    <mergeCell ref="H2:AU2"/>
    <mergeCell ref="C31:BA31"/>
    <mergeCell ref="AE8:AL8"/>
    <mergeCell ref="AE10:AL10"/>
    <mergeCell ref="C37:BA37"/>
    <mergeCell ref="AH22:AT22"/>
    <mergeCell ref="AH24:AT24"/>
    <mergeCell ref="AH30:AT30"/>
    <mergeCell ref="AH28:AT28"/>
    <mergeCell ref="K84:N84"/>
    <mergeCell ref="AV98:AZ98"/>
    <mergeCell ref="Z106:AC106"/>
    <mergeCell ref="AV106:AZ106"/>
    <mergeCell ref="AV18:BA18"/>
    <mergeCell ref="Z90:AC90"/>
    <mergeCell ref="Z60:AC60"/>
    <mergeCell ref="AV60:AZ60"/>
    <mergeCell ref="Z24:AC24"/>
    <mergeCell ref="Z40:AC40"/>
    <mergeCell ref="AV40:AZ40"/>
    <mergeCell ref="Z28:AC28"/>
    <mergeCell ref="AH40:AR40"/>
    <mergeCell ref="AH104:AR106"/>
    <mergeCell ref="AH57:AR60"/>
    <mergeCell ref="AH78:AR80"/>
    <mergeCell ref="D147:J147"/>
    <mergeCell ref="K147:N147"/>
    <mergeCell ref="AE14:AL14"/>
    <mergeCell ref="AH45:AR48"/>
    <mergeCell ref="AN7:BA17"/>
    <mergeCell ref="T18:AD18"/>
    <mergeCell ref="AH42:AR42"/>
    <mergeCell ref="Z92:AC92"/>
    <mergeCell ref="AH96:AR98"/>
    <mergeCell ref="AH32:AR32"/>
    <mergeCell ref="AV42:BA42"/>
    <mergeCell ref="AV48:AZ48"/>
    <mergeCell ref="Z30:AC30"/>
    <mergeCell ref="Z48:AC48"/>
    <mergeCell ref="Z98:AC98"/>
    <mergeCell ref="Z70:AC70"/>
    <mergeCell ref="AV70:AZ70"/>
    <mergeCell ref="AH18:AR18"/>
    <mergeCell ref="D50:J50"/>
    <mergeCell ref="K50:N50"/>
    <mergeCell ref="D62:J62"/>
    <mergeCell ref="K62:N62"/>
    <mergeCell ref="AV80:AZ80"/>
    <mergeCell ref="AH67:AR70"/>
    <mergeCell ref="B217:BA219"/>
    <mergeCell ref="B220:BA221"/>
    <mergeCell ref="B222:BA223"/>
    <mergeCell ref="Q50:AK52"/>
    <mergeCell ref="Q62:AK64"/>
    <mergeCell ref="Q82:AK84"/>
    <mergeCell ref="Q147:AK151"/>
    <mergeCell ref="Q157:AK159"/>
    <mergeCell ref="Q172:AK174"/>
    <mergeCell ref="Q108:AK112"/>
    <mergeCell ref="Q72:AK76"/>
    <mergeCell ref="D72:J72"/>
    <mergeCell ref="K72:N72"/>
    <mergeCell ref="D82:J82"/>
    <mergeCell ref="K82:N82"/>
    <mergeCell ref="D90:J90"/>
    <mergeCell ref="K90:N90"/>
    <mergeCell ref="D157:J157"/>
    <mergeCell ref="K157:N157"/>
    <mergeCell ref="D172:J172"/>
    <mergeCell ref="K172:N172"/>
    <mergeCell ref="K112:N112"/>
    <mergeCell ref="K110:N110"/>
    <mergeCell ref="D108:J108"/>
  </mergeCells>
  <conditionalFormatting sqref="AE10">
    <cfRule type="cellIs" dxfId="3" priority="14" operator="greaterThan">
      <formula>10000</formula>
    </cfRule>
  </conditionalFormatting>
  <conditionalFormatting sqref="AV50:AZ50 AV62:AZ62 AV72:AZ72 AV82:AZ82 AV90:AZ90 AV108:AZ108 AV147:AZ147 AV157:AZ157 AV172:AZ172">
    <cfRule type="expression" dxfId="2" priority="12">
      <formula>WQCheck</formula>
    </cfRule>
  </conditionalFormatting>
  <conditionalFormatting sqref="AV129:AZ129">
    <cfRule type="expression" dxfId="1" priority="2">
      <formula>WQCheck</formula>
    </cfRule>
  </conditionalFormatting>
  <conditionalFormatting sqref="AV133:AZ133">
    <cfRule type="expression" dxfId="0" priority="1">
      <formula>WQCheck</formula>
    </cfRule>
  </conditionalFormatting>
  <dataValidations count="11">
    <dataValidation type="list" allowBlank="1" showInputMessage="1" showErrorMessage="1" sqref="AE8" xr:uid="{432BFDCC-E77B-4417-8CCC-479E99F2C14F}">
      <formula1>YesNo</formula1>
    </dataValidation>
    <dataValidation type="list" allowBlank="1" showInputMessage="1" showErrorMessage="1" sqref="K56:N56 K66:N66 K151:N151" xr:uid="{3E702A49-6339-4B68-B4BB-EB527C8C492B}">
      <formula1>Sideslopes</formula1>
    </dataValidation>
    <dataValidation type="list" allowBlank="1" showInputMessage="1" showErrorMessage="1" sqref="K54:N54 K76:N76 K112:N112 K174:N174" xr:uid="{A13EE6C6-5AC1-41A4-AFFE-9E8DBC3C54C8}">
      <formula1>InfRate</formula1>
    </dataValidation>
    <dataValidation type="list" allowBlank="1" showInputMessage="1" showErrorMessage="1" sqref="K94:N94 K102:N102" xr:uid="{17CACEC7-6BF9-4592-983A-DC7E86E684E4}">
      <formula1>InfRateLarge</formula1>
    </dataValidation>
    <dataValidation type="list" allowBlank="1" showInputMessage="1" showErrorMessage="1" sqref="K92:N92" xr:uid="{924B2A1F-4844-444D-8D60-3975268664F3}">
      <formula1>InfTrenchDepth</formula1>
    </dataValidation>
    <dataValidation type="list" allowBlank="1" showInputMessage="1" showErrorMessage="1" sqref="K100:N100" xr:uid="{D9E84E54-EC2B-48A1-BAA8-AECC3CD51FEE}">
      <formula1>DrywellDepth</formula1>
    </dataValidation>
    <dataValidation type="list" allowBlank="1" showInputMessage="1" showErrorMessage="1" sqref="K110:N110" xr:uid="{2338D53E-AF17-4D56-9EED-BBC7C0B2562A}">
      <formula1>PondingVert</formula1>
    </dataValidation>
    <dataValidation type="list" allowBlank="1" showInputMessage="1" showErrorMessage="1" sqref="K182:N182" xr:uid="{BAA7680E-6D88-40A5-A16D-D2BB793E2D36}">
      <formula1>PipeDiameter</formula1>
    </dataValidation>
    <dataValidation type="list" allowBlank="1" showInputMessage="1" showErrorMessage="1" sqref="K188:N188 K194:N194" xr:uid="{2F92C85A-8B92-4B72-87F0-272E46105C81}">
      <formula1>VaultDepth</formula1>
    </dataValidation>
    <dataValidation type="list" allowBlank="1" showInputMessage="1" showErrorMessage="1" sqref="K159:N159 K149:N149 K64:N64 K84:N84" xr:uid="{A6550935-828A-4378-AB7F-59BBE00B1DB2}">
      <formula1>IF($K$56="Vertical",PondingVert,Ponding)</formula1>
    </dataValidation>
    <dataValidation type="list" allowBlank="1" showInputMessage="1" showErrorMessage="1" sqref="K52:N52 K74:N74" xr:uid="{00EBE8CD-3E3E-418D-A84A-93C57EC306E4}">
      <formula1>Ponding</formula1>
    </dataValidation>
  </dataValidations>
  <pageMargins left="0.7" right="0.7" top="0.75" bottom="0.75" header="0.3" footer="0.3"/>
  <pageSetup paperSize="1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528" r:id="rId4" name="Check Box 1432">
              <controlPr locked="0" defaultSize="0" autoFill="0" autoLine="0" autoPict="0">
                <anchor moveWithCells="1">
                  <from>
                    <xdr:col>12</xdr:col>
                    <xdr:colOff>57150</xdr:colOff>
                    <xdr:row>4</xdr:row>
                    <xdr:rowOff>9525</xdr:rowOff>
                  </from>
                  <to>
                    <xdr:col>24</xdr:col>
                    <xdr:colOff>0</xdr:colOff>
                    <xdr:row>6</xdr:row>
                    <xdr:rowOff>19050</xdr:rowOff>
                  </to>
                </anchor>
              </controlPr>
            </control>
          </mc:Choice>
        </mc:AlternateContent>
        <mc:AlternateContent xmlns:mc="http://schemas.openxmlformats.org/markup-compatibility/2006">
          <mc:Choice Requires="x14">
            <control shapeId="5529" r:id="rId5" name="Check Box 1433">
              <controlPr locked="0" defaultSize="0" autoFill="0" autoLine="0" autoPict="0">
                <anchor moveWithCells="1">
                  <from>
                    <xdr:col>26</xdr:col>
                    <xdr:colOff>133350</xdr:colOff>
                    <xdr:row>4</xdr:row>
                    <xdr:rowOff>9525</xdr:rowOff>
                  </from>
                  <to>
                    <xdr:col>37</xdr:col>
                    <xdr:colOff>114300</xdr:colOff>
                    <xdr:row>6</xdr:row>
                    <xdr:rowOff>28575</xdr:rowOff>
                  </to>
                </anchor>
              </controlPr>
            </control>
          </mc:Choice>
        </mc:AlternateContent>
        <mc:AlternateContent xmlns:mc="http://schemas.openxmlformats.org/markup-compatibility/2006">
          <mc:Choice Requires="x14">
            <control shapeId="5530" r:id="rId6" name="Check Box 1434">
              <controlPr locked="0" defaultSize="0" autoFill="0" autoLine="0" autoPict="0">
                <anchor moveWithCells="1">
                  <from>
                    <xdr:col>38</xdr:col>
                    <xdr:colOff>133350</xdr:colOff>
                    <xdr:row>3</xdr:row>
                    <xdr:rowOff>152400</xdr:rowOff>
                  </from>
                  <to>
                    <xdr:col>50</xdr:col>
                    <xdr:colOff>142875</xdr:colOff>
                    <xdr:row>6</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ED978FFA-4BAF-4C40-8CEF-DDD1C3D67F65}">
          <x14:formula1>
            <xm:f>Lists!$K$2:$K$3</xm:f>
          </x14:formula1>
          <xm:sqref>R124:U124</xm:sqref>
        </x14:dataValidation>
        <x14:dataValidation type="list" allowBlank="1" showInputMessage="1" showErrorMessage="1" xr:uid="{62E04A12-1B66-404F-ACDC-DF0372A92452}">
          <x14:formula1>
            <xm:f>Lists!C2:C8</xm:f>
          </x14:formula1>
          <xm:sqref>BD14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86"/>
  <sheetViews>
    <sheetView topLeftCell="A343" zoomScale="80" zoomScaleNormal="80" workbookViewId="0">
      <selection activeCell="J391" sqref="J391:J394"/>
    </sheetView>
  </sheetViews>
  <sheetFormatPr defaultColWidth="9.140625" defaultRowHeight="15" x14ac:dyDescent="0.25"/>
  <cols>
    <col min="1" max="1" width="47" style="94" customWidth="1"/>
    <col min="2" max="2" width="20.85546875" style="94" bestFit="1" customWidth="1"/>
    <col min="3" max="3" width="20" style="94" bestFit="1" customWidth="1"/>
    <col min="4" max="4" width="17.7109375" style="94" bestFit="1" customWidth="1"/>
    <col min="5" max="5" width="20.42578125" style="98" bestFit="1" customWidth="1"/>
    <col min="6" max="6" width="20.42578125" style="98" customWidth="1"/>
    <col min="7" max="7" width="32" style="94" bestFit="1" customWidth="1"/>
    <col min="8" max="9" width="13.5703125" style="105" customWidth="1"/>
    <col min="10" max="11" width="15.85546875" style="94" customWidth="1"/>
    <col min="12" max="12" width="89.140625" style="94" customWidth="1"/>
    <col min="13" max="13" width="16.5703125" style="94" customWidth="1"/>
    <col min="14" max="16384" width="9.140625" style="94"/>
  </cols>
  <sheetData>
    <row r="1" spans="1:13" x14ac:dyDescent="0.25">
      <c r="A1" s="96" t="s">
        <v>142</v>
      </c>
      <c r="B1" s="97"/>
      <c r="C1" s="97"/>
      <c r="D1" s="97"/>
      <c r="E1" s="99"/>
      <c r="F1" s="99"/>
      <c r="G1" s="97"/>
      <c r="H1" s="103"/>
      <c r="I1" s="103"/>
      <c r="J1" s="97"/>
      <c r="K1" s="97"/>
      <c r="L1" s="97"/>
    </row>
    <row r="2" spans="1:13" ht="45" x14ac:dyDescent="0.25">
      <c r="A2" s="34" t="s">
        <v>68</v>
      </c>
      <c r="B2" s="34" t="s">
        <v>55</v>
      </c>
      <c r="C2" s="34" t="s">
        <v>85</v>
      </c>
      <c r="D2" s="34" t="s">
        <v>69</v>
      </c>
      <c r="E2" s="44" t="s">
        <v>111</v>
      </c>
      <c r="F2" s="44" t="s">
        <v>112</v>
      </c>
      <c r="G2" s="34" t="s">
        <v>79</v>
      </c>
      <c r="H2" s="34" t="s">
        <v>73</v>
      </c>
      <c r="I2" s="34" t="s">
        <v>74</v>
      </c>
      <c r="J2" s="34" t="s">
        <v>76</v>
      </c>
      <c r="K2" s="34"/>
      <c r="L2" s="34" t="s">
        <v>80</v>
      </c>
    </row>
    <row r="3" spans="1:13" x14ac:dyDescent="0.25">
      <c r="A3" s="27" t="s">
        <v>246</v>
      </c>
      <c r="B3" s="29" t="s">
        <v>57</v>
      </c>
      <c r="C3" s="27">
        <v>2</v>
      </c>
      <c r="D3" s="27">
        <v>0.15</v>
      </c>
      <c r="E3" s="26">
        <v>0</v>
      </c>
      <c r="F3" s="26">
        <v>2000</v>
      </c>
      <c r="G3" s="26" t="s">
        <v>7</v>
      </c>
      <c r="H3" s="104">
        <v>0.22900000000000001</v>
      </c>
      <c r="I3" s="105">
        <v>0</v>
      </c>
      <c r="L3" s="94" t="str">
        <f>A3&amp;B3&amp;C3&amp;D3&amp;E3&amp;F3&amp;G3</f>
        <v>Infiltrating Bioretention without Underdrain42.5H:1V20.1502000Pre-developed Pasture Standard</v>
      </c>
      <c r="M3" s="94" t="s">
        <v>82</v>
      </c>
    </row>
    <row r="4" spans="1:13" x14ac:dyDescent="0.25">
      <c r="A4" s="27" t="s">
        <v>246</v>
      </c>
      <c r="B4" s="29" t="s">
        <v>57</v>
      </c>
      <c r="C4" s="27">
        <v>2</v>
      </c>
      <c r="D4" s="27">
        <v>0.15</v>
      </c>
      <c r="E4" s="26">
        <v>2000</v>
      </c>
      <c r="F4" s="26">
        <v>10000</v>
      </c>
      <c r="G4" s="26" t="s">
        <v>7</v>
      </c>
      <c r="H4" s="104">
        <v>0.16</v>
      </c>
      <c r="I4" s="105">
        <v>139.6</v>
      </c>
      <c r="L4" s="94" t="str">
        <f t="shared" ref="L4:L107" si="0">A4&amp;B4&amp;C4&amp;D4&amp;E4&amp;F4&amp;G4</f>
        <v>Infiltrating Bioretention without Underdrain42.5H:1V20.15200010000Pre-developed Pasture Standard</v>
      </c>
      <c r="M4" s="94" t="s">
        <v>82</v>
      </c>
    </row>
    <row r="5" spans="1:13" x14ac:dyDescent="0.25">
      <c r="A5" s="27" t="s">
        <v>246</v>
      </c>
      <c r="B5" s="29" t="s">
        <v>57</v>
      </c>
      <c r="C5" s="27">
        <v>2</v>
      </c>
      <c r="D5" s="27">
        <v>0.3</v>
      </c>
      <c r="E5" s="26">
        <v>0</v>
      </c>
      <c r="F5" s="26">
        <v>2000</v>
      </c>
      <c r="G5" s="26" t="s">
        <v>7</v>
      </c>
      <c r="H5" s="104">
        <v>0.184</v>
      </c>
      <c r="I5" s="105">
        <v>0</v>
      </c>
      <c r="L5" s="94" t="str">
        <f t="shared" si="0"/>
        <v>Infiltrating Bioretention without Underdrain42.5H:1V20.302000Pre-developed Pasture Standard</v>
      </c>
      <c r="M5" s="94" t="s">
        <v>82</v>
      </c>
    </row>
    <row r="6" spans="1:13" x14ac:dyDescent="0.25">
      <c r="A6" s="27" t="s">
        <v>246</v>
      </c>
      <c r="B6" s="29" t="s">
        <v>57</v>
      </c>
      <c r="C6" s="27">
        <v>2</v>
      </c>
      <c r="D6" s="27">
        <v>0.3</v>
      </c>
      <c r="E6" s="26">
        <v>2000</v>
      </c>
      <c r="F6" s="26">
        <v>10000</v>
      </c>
      <c r="G6" s="26" t="s">
        <v>7</v>
      </c>
      <c r="H6" s="104">
        <v>0.13189999999999999</v>
      </c>
      <c r="I6" s="105">
        <v>106</v>
      </c>
      <c r="L6" s="94" t="str">
        <f t="shared" si="0"/>
        <v>Infiltrating Bioretention without Underdrain42.5H:1V20.3200010000Pre-developed Pasture Standard</v>
      </c>
      <c r="M6" s="94" t="s">
        <v>82</v>
      </c>
    </row>
    <row r="7" spans="1:13" x14ac:dyDescent="0.25">
      <c r="A7" s="27" t="s">
        <v>246</v>
      </c>
      <c r="B7" s="29" t="s">
        <v>57</v>
      </c>
      <c r="C7" s="27">
        <v>2</v>
      </c>
      <c r="D7" s="27">
        <v>0.6</v>
      </c>
      <c r="E7" s="26">
        <v>0</v>
      </c>
      <c r="F7" s="26">
        <v>2000</v>
      </c>
      <c r="G7" s="26" t="s">
        <v>7</v>
      </c>
      <c r="H7" s="104">
        <v>9.5000000000000001E-2</v>
      </c>
      <c r="I7" s="105">
        <v>0</v>
      </c>
      <c r="L7" s="94" t="str">
        <f t="shared" si="0"/>
        <v>Infiltrating Bioretention without Underdrain42.5H:1V20.602000Pre-developed Pasture Standard</v>
      </c>
      <c r="M7" s="94" t="s">
        <v>82</v>
      </c>
    </row>
    <row r="8" spans="1:13" x14ac:dyDescent="0.25">
      <c r="A8" s="27" t="s">
        <v>246</v>
      </c>
      <c r="B8" s="29" t="s">
        <v>57</v>
      </c>
      <c r="C8" s="27">
        <v>2</v>
      </c>
      <c r="D8" s="27">
        <v>0.6</v>
      </c>
      <c r="E8" s="26">
        <v>2000</v>
      </c>
      <c r="F8" s="26">
        <v>10000</v>
      </c>
      <c r="G8" s="26" t="s">
        <v>7</v>
      </c>
      <c r="H8" s="104">
        <v>7.5600000000000001E-2</v>
      </c>
      <c r="I8" s="105">
        <v>38.799999999999997</v>
      </c>
      <c r="L8" s="94" t="str">
        <f t="shared" si="0"/>
        <v>Infiltrating Bioretention without Underdrain42.5H:1V20.6200010000Pre-developed Pasture Standard</v>
      </c>
      <c r="M8" s="94" t="s">
        <v>82</v>
      </c>
    </row>
    <row r="9" spans="1:13" x14ac:dyDescent="0.25">
      <c r="A9" s="27" t="s">
        <v>246</v>
      </c>
      <c r="B9" s="29" t="s">
        <v>57</v>
      </c>
      <c r="C9" s="27">
        <v>2</v>
      </c>
      <c r="D9" s="27">
        <v>1</v>
      </c>
      <c r="E9" s="26">
        <v>0</v>
      </c>
      <c r="F9" s="26">
        <v>2000</v>
      </c>
      <c r="G9" s="26" t="s">
        <v>7</v>
      </c>
      <c r="H9" s="104">
        <v>8.3000000000000004E-2</v>
      </c>
      <c r="I9" s="105">
        <v>0</v>
      </c>
      <c r="L9" s="94" t="str">
        <f t="shared" si="0"/>
        <v>Infiltrating Bioretention without Underdrain42.5H:1V2102000Pre-developed Pasture Standard</v>
      </c>
      <c r="M9" s="94" t="s">
        <v>82</v>
      </c>
    </row>
    <row r="10" spans="1:13" x14ac:dyDescent="0.25">
      <c r="A10" s="27" t="s">
        <v>246</v>
      </c>
      <c r="B10" s="29" t="s">
        <v>57</v>
      </c>
      <c r="C10" s="27">
        <v>2</v>
      </c>
      <c r="D10" s="27">
        <v>1</v>
      </c>
      <c r="E10" s="26">
        <v>2000</v>
      </c>
      <c r="F10" s="26">
        <v>10000</v>
      </c>
      <c r="G10" s="26" t="s">
        <v>7</v>
      </c>
      <c r="H10" s="104">
        <v>6.5000000000000002E-2</v>
      </c>
      <c r="I10" s="105">
        <v>34.700000000000003</v>
      </c>
      <c r="L10" s="94" t="str">
        <f t="shared" si="0"/>
        <v>Infiltrating Bioretention without Underdrain42.5H:1V21200010000Pre-developed Pasture Standard</v>
      </c>
      <c r="M10" s="94" t="s">
        <v>82</v>
      </c>
    </row>
    <row r="11" spans="1:13" x14ac:dyDescent="0.25">
      <c r="A11" s="27" t="s">
        <v>246</v>
      </c>
      <c r="B11" s="29" t="s">
        <v>57</v>
      </c>
      <c r="C11" s="27">
        <v>2</v>
      </c>
      <c r="D11" s="28">
        <v>2.5</v>
      </c>
      <c r="E11" s="26">
        <v>0</v>
      </c>
      <c r="F11" s="26">
        <v>2000</v>
      </c>
      <c r="G11" s="26" t="s">
        <v>7</v>
      </c>
      <c r="H11" s="104">
        <v>3.5999999999999997E-2</v>
      </c>
      <c r="I11" s="105">
        <v>0</v>
      </c>
      <c r="L11" s="94" t="str">
        <f t="shared" si="0"/>
        <v>Infiltrating Bioretention without Underdrain42.5H:1V22.502000Pre-developed Pasture Standard</v>
      </c>
      <c r="M11" s="94" t="s">
        <v>82</v>
      </c>
    </row>
    <row r="12" spans="1:13" x14ac:dyDescent="0.25">
      <c r="A12" s="33" t="s">
        <v>246</v>
      </c>
      <c r="B12" s="30" t="s">
        <v>57</v>
      </c>
      <c r="C12" s="33">
        <v>2</v>
      </c>
      <c r="D12" s="31">
        <v>2.5</v>
      </c>
      <c r="E12" s="32">
        <v>2000</v>
      </c>
      <c r="F12" s="32">
        <v>10000</v>
      </c>
      <c r="G12" s="32" t="s">
        <v>7</v>
      </c>
      <c r="H12" s="106">
        <v>2.5100000000000001E-2</v>
      </c>
      <c r="I12" s="103">
        <v>19.7</v>
      </c>
      <c r="J12" s="97"/>
      <c r="K12" s="97"/>
      <c r="L12" s="97" t="str">
        <f t="shared" si="0"/>
        <v>Infiltrating Bioretention without Underdrain42.5H:1V22.5200010000Pre-developed Pasture Standard</v>
      </c>
      <c r="M12" s="94" t="s">
        <v>82</v>
      </c>
    </row>
    <row r="13" spans="1:13" x14ac:dyDescent="0.25">
      <c r="A13" s="27" t="s">
        <v>246</v>
      </c>
      <c r="B13" s="29" t="s">
        <v>57</v>
      </c>
      <c r="C13" s="27">
        <v>2</v>
      </c>
      <c r="D13" s="27">
        <v>0.15</v>
      </c>
      <c r="E13" s="26"/>
      <c r="F13" s="26"/>
      <c r="G13" s="26" t="s">
        <v>71</v>
      </c>
      <c r="H13" s="107" t="s">
        <v>70</v>
      </c>
      <c r="J13" s="94" t="s">
        <v>109</v>
      </c>
      <c r="L13" s="94" t="str">
        <f t="shared" si="0"/>
        <v>Infiltrating Bioretention without Underdrain42.5H:1V20.15Peak Control Standard</v>
      </c>
      <c r="M13" s="94" t="s">
        <v>82</v>
      </c>
    </row>
    <row r="14" spans="1:13" x14ac:dyDescent="0.25">
      <c r="A14" s="27" t="s">
        <v>246</v>
      </c>
      <c r="B14" s="29" t="s">
        <v>57</v>
      </c>
      <c r="C14" s="27">
        <v>2</v>
      </c>
      <c r="D14" s="27">
        <v>0.3</v>
      </c>
      <c r="E14" s="26"/>
      <c r="F14" s="26"/>
      <c r="G14" s="26" t="s">
        <v>71</v>
      </c>
      <c r="H14" s="107" t="s">
        <v>70</v>
      </c>
      <c r="J14" s="94" t="s">
        <v>109</v>
      </c>
      <c r="L14" s="94" t="str">
        <f t="shared" si="0"/>
        <v>Infiltrating Bioretention without Underdrain42.5H:1V20.3Peak Control Standard</v>
      </c>
      <c r="M14" s="94" t="s">
        <v>82</v>
      </c>
    </row>
    <row r="15" spans="1:13" x14ac:dyDescent="0.25">
      <c r="A15" s="27" t="s">
        <v>246</v>
      </c>
      <c r="B15" s="29" t="s">
        <v>57</v>
      </c>
      <c r="C15" s="27">
        <v>2</v>
      </c>
      <c r="D15" s="27">
        <v>0.6</v>
      </c>
      <c r="E15" s="26"/>
      <c r="F15" s="26"/>
      <c r="G15" s="26" t="s">
        <v>71</v>
      </c>
      <c r="H15" s="107" t="s">
        <v>70</v>
      </c>
      <c r="J15" s="94" t="s">
        <v>109</v>
      </c>
      <c r="L15" s="94" t="str">
        <f t="shared" si="0"/>
        <v>Infiltrating Bioretention without Underdrain42.5H:1V20.6Peak Control Standard</v>
      </c>
      <c r="M15" s="94" t="s">
        <v>82</v>
      </c>
    </row>
    <row r="16" spans="1:13" x14ac:dyDescent="0.25">
      <c r="A16" s="27" t="s">
        <v>246</v>
      </c>
      <c r="B16" s="29" t="s">
        <v>57</v>
      </c>
      <c r="C16" s="27">
        <v>2</v>
      </c>
      <c r="D16" s="27">
        <v>1</v>
      </c>
      <c r="E16" s="26"/>
      <c r="F16" s="26"/>
      <c r="G16" s="26" t="s">
        <v>71</v>
      </c>
      <c r="H16" s="107" t="s">
        <v>70</v>
      </c>
      <c r="J16" s="94" t="s">
        <v>109</v>
      </c>
      <c r="L16" s="94" t="str">
        <f t="shared" si="0"/>
        <v>Infiltrating Bioretention without Underdrain42.5H:1V21Peak Control Standard</v>
      </c>
      <c r="M16" s="94" t="s">
        <v>82</v>
      </c>
    </row>
    <row r="17" spans="1:13" x14ac:dyDescent="0.25">
      <c r="A17" s="33" t="s">
        <v>246</v>
      </c>
      <c r="B17" s="30" t="s">
        <v>57</v>
      </c>
      <c r="C17" s="33">
        <v>2</v>
      </c>
      <c r="D17" s="31">
        <v>2.5</v>
      </c>
      <c r="E17" s="32"/>
      <c r="F17" s="32"/>
      <c r="G17" s="32" t="s">
        <v>71</v>
      </c>
      <c r="H17" s="108" t="s">
        <v>70</v>
      </c>
      <c r="I17" s="103"/>
      <c r="J17" s="97" t="s">
        <v>109</v>
      </c>
      <c r="K17" s="97"/>
      <c r="L17" s="97" t="str">
        <f t="shared" si="0"/>
        <v>Infiltrating Bioretention without Underdrain42.5H:1V22.5Peak Control Standard</v>
      </c>
      <c r="M17" s="94" t="s">
        <v>82</v>
      </c>
    </row>
    <row r="18" spans="1:13" x14ac:dyDescent="0.25">
      <c r="A18" s="27" t="s">
        <v>246</v>
      </c>
      <c r="B18" s="29" t="s">
        <v>57</v>
      </c>
      <c r="C18" s="27">
        <v>2</v>
      </c>
      <c r="D18" s="27">
        <v>0.15</v>
      </c>
      <c r="E18" s="26">
        <v>0</v>
      </c>
      <c r="F18" s="26">
        <v>2000</v>
      </c>
      <c r="G18" s="26" t="s">
        <v>72</v>
      </c>
      <c r="H18" s="105">
        <v>8.7999999999999995E-2</v>
      </c>
      <c r="L18" s="94" t="str">
        <f t="shared" si="0"/>
        <v>Infiltrating Bioretention without Underdrain42.5H:1V20.1502000Water Quality Treatment</v>
      </c>
      <c r="M18" s="94" t="s">
        <v>82</v>
      </c>
    </row>
    <row r="19" spans="1:13" x14ac:dyDescent="0.25">
      <c r="A19" s="27" t="s">
        <v>246</v>
      </c>
      <c r="B19" s="29" t="s">
        <v>57</v>
      </c>
      <c r="C19" s="27">
        <v>2</v>
      </c>
      <c r="D19" s="27">
        <v>0.15</v>
      </c>
      <c r="E19" s="26">
        <v>2000</v>
      </c>
      <c r="F19" s="26">
        <v>10000</v>
      </c>
      <c r="G19" s="26" t="s">
        <v>72</v>
      </c>
      <c r="H19" s="105">
        <v>8.7999999999999995E-2</v>
      </c>
      <c r="L19" s="94" t="str">
        <f t="shared" si="0"/>
        <v>Infiltrating Bioretention without Underdrain42.5H:1V20.15200010000Water Quality Treatment</v>
      </c>
    </row>
    <row r="20" spans="1:13" x14ac:dyDescent="0.25">
      <c r="A20" s="27" t="s">
        <v>246</v>
      </c>
      <c r="B20" s="29" t="s">
        <v>57</v>
      </c>
      <c r="C20" s="27">
        <v>2</v>
      </c>
      <c r="D20" s="27">
        <v>0.3</v>
      </c>
      <c r="E20" s="26">
        <v>0</v>
      </c>
      <c r="F20" s="26">
        <v>2000</v>
      </c>
      <c r="G20" s="26" t="s">
        <v>72</v>
      </c>
      <c r="H20" s="105">
        <v>6.9000000000000006E-2</v>
      </c>
      <c r="L20" s="94" t="str">
        <f t="shared" si="0"/>
        <v>Infiltrating Bioretention without Underdrain42.5H:1V20.302000Water Quality Treatment</v>
      </c>
      <c r="M20" s="94" t="s">
        <v>82</v>
      </c>
    </row>
    <row r="21" spans="1:13" x14ac:dyDescent="0.25">
      <c r="A21" s="27" t="s">
        <v>246</v>
      </c>
      <c r="B21" s="29" t="s">
        <v>57</v>
      </c>
      <c r="C21" s="27">
        <v>2</v>
      </c>
      <c r="D21" s="27">
        <v>0.3</v>
      </c>
      <c r="E21" s="26">
        <v>2000</v>
      </c>
      <c r="F21" s="26">
        <v>10000</v>
      </c>
      <c r="G21" s="26" t="s">
        <v>72</v>
      </c>
      <c r="H21" s="105">
        <v>6.9000000000000006E-2</v>
      </c>
      <c r="L21" s="94" t="str">
        <f t="shared" si="0"/>
        <v>Infiltrating Bioretention without Underdrain42.5H:1V20.3200010000Water Quality Treatment</v>
      </c>
    </row>
    <row r="22" spans="1:13" x14ac:dyDescent="0.25">
      <c r="A22" s="27" t="s">
        <v>246</v>
      </c>
      <c r="B22" s="29" t="s">
        <v>57</v>
      </c>
      <c r="C22" s="27">
        <v>2</v>
      </c>
      <c r="D22" s="27">
        <v>0.6</v>
      </c>
      <c r="E22" s="26">
        <v>0</v>
      </c>
      <c r="F22" s="26">
        <v>2000</v>
      </c>
      <c r="G22" s="26" t="s">
        <v>72</v>
      </c>
      <c r="H22" s="105">
        <v>3.1E-2</v>
      </c>
      <c r="L22" s="94" t="str">
        <f t="shared" si="0"/>
        <v>Infiltrating Bioretention without Underdrain42.5H:1V20.602000Water Quality Treatment</v>
      </c>
      <c r="M22" s="94" t="s">
        <v>82</v>
      </c>
    </row>
    <row r="23" spans="1:13" x14ac:dyDescent="0.25">
      <c r="A23" s="27" t="s">
        <v>246</v>
      </c>
      <c r="B23" s="29" t="s">
        <v>57</v>
      </c>
      <c r="C23" s="27">
        <v>2</v>
      </c>
      <c r="D23" s="27">
        <v>0.6</v>
      </c>
      <c r="E23" s="26">
        <v>2000</v>
      </c>
      <c r="F23" s="26">
        <v>10000</v>
      </c>
      <c r="G23" s="26" t="s">
        <v>72</v>
      </c>
      <c r="H23" s="105">
        <v>3.1E-2</v>
      </c>
      <c r="L23" s="94" t="str">
        <f t="shared" si="0"/>
        <v>Infiltrating Bioretention without Underdrain42.5H:1V20.6200010000Water Quality Treatment</v>
      </c>
    </row>
    <row r="24" spans="1:13" x14ac:dyDescent="0.25">
      <c r="A24" s="27" t="s">
        <v>246</v>
      </c>
      <c r="B24" s="29" t="s">
        <v>57</v>
      </c>
      <c r="C24" s="27">
        <v>2</v>
      </c>
      <c r="D24" s="27">
        <v>1</v>
      </c>
      <c r="E24" s="26">
        <v>0</v>
      </c>
      <c r="F24" s="26">
        <v>2000</v>
      </c>
      <c r="G24" s="26" t="s">
        <v>72</v>
      </c>
      <c r="H24" s="105">
        <v>2.7E-2</v>
      </c>
      <c r="L24" s="94" t="str">
        <f t="shared" si="0"/>
        <v>Infiltrating Bioretention without Underdrain42.5H:1V2102000Water Quality Treatment</v>
      </c>
      <c r="M24" s="94" t="s">
        <v>82</v>
      </c>
    </row>
    <row r="25" spans="1:13" x14ac:dyDescent="0.25">
      <c r="A25" s="27" t="s">
        <v>246</v>
      </c>
      <c r="B25" s="29" t="s">
        <v>57</v>
      </c>
      <c r="C25" s="27">
        <v>2</v>
      </c>
      <c r="D25" s="27">
        <v>1</v>
      </c>
      <c r="E25" s="26">
        <v>2000</v>
      </c>
      <c r="F25" s="26">
        <v>10000</v>
      </c>
      <c r="G25" s="26" t="s">
        <v>72</v>
      </c>
      <c r="H25" s="105">
        <v>2.7E-2</v>
      </c>
      <c r="L25" s="94" t="str">
        <f t="shared" si="0"/>
        <v>Infiltrating Bioretention without Underdrain42.5H:1V21200010000Water Quality Treatment</v>
      </c>
    </row>
    <row r="26" spans="1:13" x14ac:dyDescent="0.25">
      <c r="A26" s="27" t="s">
        <v>246</v>
      </c>
      <c r="B26" s="29" t="s">
        <v>57</v>
      </c>
      <c r="C26" s="27">
        <v>2</v>
      </c>
      <c r="D26" s="28">
        <v>2.5</v>
      </c>
      <c r="E26" s="26">
        <v>0</v>
      </c>
      <c r="F26" s="26">
        <v>2000</v>
      </c>
      <c r="G26" s="26" t="s">
        <v>72</v>
      </c>
      <c r="H26" s="105">
        <v>1.2999999999999999E-2</v>
      </c>
      <c r="L26" s="94" t="str">
        <f t="shared" si="0"/>
        <v>Infiltrating Bioretention without Underdrain42.5H:1V22.502000Water Quality Treatment</v>
      </c>
    </row>
    <row r="27" spans="1:13" x14ac:dyDescent="0.25">
      <c r="A27" s="33" t="s">
        <v>246</v>
      </c>
      <c r="B27" s="30" t="s">
        <v>57</v>
      </c>
      <c r="C27" s="33">
        <v>2</v>
      </c>
      <c r="D27" s="31">
        <v>2.5</v>
      </c>
      <c r="E27" s="32">
        <v>2000</v>
      </c>
      <c r="F27" s="32">
        <v>10000</v>
      </c>
      <c r="G27" s="32" t="s">
        <v>72</v>
      </c>
      <c r="H27" s="103">
        <v>1.2999999999999999E-2</v>
      </c>
      <c r="I27" s="103"/>
      <c r="J27" s="97"/>
      <c r="K27" s="97"/>
      <c r="L27" s="97" t="str">
        <f t="shared" si="0"/>
        <v>Infiltrating Bioretention without Underdrain42.5H:1V22.5200010000Water Quality Treatment</v>
      </c>
      <c r="M27" s="94" t="s">
        <v>82</v>
      </c>
    </row>
    <row r="28" spans="1:13" x14ac:dyDescent="0.25">
      <c r="A28" s="27" t="s">
        <v>246</v>
      </c>
      <c r="B28" s="29" t="s">
        <v>57</v>
      </c>
      <c r="C28" s="29">
        <v>6</v>
      </c>
      <c r="D28" s="27">
        <v>0.15</v>
      </c>
      <c r="E28" s="26">
        <v>0</v>
      </c>
      <c r="F28" s="26">
        <v>2000</v>
      </c>
      <c r="G28" s="26" t="s">
        <v>7</v>
      </c>
      <c r="H28" s="109" t="s">
        <v>70</v>
      </c>
      <c r="J28" s="94" t="s">
        <v>75</v>
      </c>
      <c r="L28" s="94" t="str">
        <f t="shared" si="0"/>
        <v>Infiltrating Bioretention without Underdrain42.5H:1V60.1502000Pre-developed Pasture Standard</v>
      </c>
      <c r="M28" s="94" t="s">
        <v>82</v>
      </c>
    </row>
    <row r="29" spans="1:13" x14ac:dyDescent="0.25">
      <c r="A29" s="27" t="s">
        <v>246</v>
      </c>
      <c r="B29" s="29" t="s">
        <v>57</v>
      </c>
      <c r="C29" s="29">
        <v>6</v>
      </c>
      <c r="D29" s="27">
        <v>0.15</v>
      </c>
      <c r="E29" s="26">
        <v>2000</v>
      </c>
      <c r="F29" s="26">
        <v>10000</v>
      </c>
      <c r="G29" s="26" t="s">
        <v>7</v>
      </c>
      <c r="H29" s="109" t="s">
        <v>70</v>
      </c>
      <c r="J29" s="94" t="s">
        <v>75</v>
      </c>
      <c r="L29" s="94" t="str">
        <f t="shared" si="0"/>
        <v>Infiltrating Bioretention without Underdrain42.5H:1V60.15200010000Pre-developed Pasture Standard</v>
      </c>
      <c r="M29" s="94" t="s">
        <v>82</v>
      </c>
    </row>
    <row r="30" spans="1:13" x14ac:dyDescent="0.25">
      <c r="A30" s="27" t="s">
        <v>246</v>
      </c>
      <c r="B30" s="29" t="s">
        <v>57</v>
      </c>
      <c r="C30" s="29">
        <v>6</v>
      </c>
      <c r="D30" s="27">
        <v>0.3</v>
      </c>
      <c r="E30" s="26">
        <v>0</v>
      </c>
      <c r="F30" s="26">
        <v>2000</v>
      </c>
      <c r="G30" s="26" t="s">
        <v>7</v>
      </c>
      <c r="H30" s="105">
        <v>0.104</v>
      </c>
      <c r="I30" s="105">
        <v>0</v>
      </c>
      <c r="L30" s="94" t="str">
        <f t="shared" si="0"/>
        <v>Infiltrating Bioretention without Underdrain42.5H:1V60.302000Pre-developed Pasture Standard</v>
      </c>
      <c r="M30" s="94" t="s">
        <v>82</v>
      </c>
    </row>
    <row r="31" spans="1:13" x14ac:dyDescent="0.25">
      <c r="A31" s="27" t="s">
        <v>246</v>
      </c>
      <c r="B31" s="29" t="s">
        <v>57</v>
      </c>
      <c r="C31" s="29">
        <v>6</v>
      </c>
      <c r="D31" s="27">
        <v>0.3</v>
      </c>
      <c r="E31" s="26">
        <v>2000</v>
      </c>
      <c r="F31" s="26">
        <v>10000</v>
      </c>
      <c r="G31" s="26" t="s">
        <v>7</v>
      </c>
      <c r="H31" s="105">
        <v>8.3000000000000004E-2</v>
      </c>
      <c r="I31" s="105">
        <v>38.700000000000003</v>
      </c>
      <c r="L31" s="94" t="str">
        <f t="shared" si="0"/>
        <v>Infiltrating Bioretention without Underdrain42.5H:1V60.3200010000Pre-developed Pasture Standard</v>
      </c>
      <c r="M31" s="94" t="s">
        <v>82</v>
      </c>
    </row>
    <row r="32" spans="1:13" x14ac:dyDescent="0.25">
      <c r="A32" s="27" t="s">
        <v>246</v>
      </c>
      <c r="B32" s="29" t="s">
        <v>57</v>
      </c>
      <c r="C32" s="29">
        <v>6</v>
      </c>
      <c r="D32" s="27">
        <v>0.6</v>
      </c>
      <c r="E32" s="26">
        <v>0</v>
      </c>
      <c r="F32" s="26">
        <v>2000</v>
      </c>
      <c r="G32" s="26" t="s">
        <v>7</v>
      </c>
      <c r="H32" s="105">
        <v>6.2E-2</v>
      </c>
      <c r="I32" s="105">
        <v>0</v>
      </c>
      <c r="L32" s="94" t="str">
        <f t="shared" si="0"/>
        <v>Infiltrating Bioretention without Underdrain42.5H:1V60.602000Pre-developed Pasture Standard</v>
      </c>
      <c r="M32" s="94" t="s">
        <v>82</v>
      </c>
    </row>
    <row r="33" spans="1:13" x14ac:dyDescent="0.25">
      <c r="A33" s="27" t="s">
        <v>246</v>
      </c>
      <c r="B33" s="29" t="s">
        <v>57</v>
      </c>
      <c r="C33" s="29">
        <v>6</v>
      </c>
      <c r="D33" s="27">
        <v>0.6</v>
      </c>
      <c r="E33" s="26">
        <v>2000</v>
      </c>
      <c r="F33" s="26">
        <v>10000</v>
      </c>
      <c r="G33" s="26" t="s">
        <v>7</v>
      </c>
      <c r="H33" s="105">
        <v>5.6000000000000001E-2</v>
      </c>
      <c r="I33" s="105">
        <v>10.199999999999999</v>
      </c>
      <c r="L33" s="94" t="str">
        <f t="shared" si="0"/>
        <v>Infiltrating Bioretention without Underdrain42.5H:1V60.6200010000Pre-developed Pasture Standard</v>
      </c>
      <c r="M33" s="94" t="s">
        <v>82</v>
      </c>
    </row>
    <row r="34" spans="1:13" x14ac:dyDescent="0.25">
      <c r="A34" s="27" t="s">
        <v>246</v>
      </c>
      <c r="B34" s="29" t="s">
        <v>57</v>
      </c>
      <c r="C34" s="29">
        <v>6</v>
      </c>
      <c r="D34" s="27">
        <v>1</v>
      </c>
      <c r="E34" s="26">
        <v>0</v>
      </c>
      <c r="F34" s="26">
        <v>2000</v>
      </c>
      <c r="G34" s="26" t="s">
        <v>7</v>
      </c>
      <c r="H34" s="105">
        <v>5.2999999999999999E-2</v>
      </c>
      <c r="I34" s="105">
        <v>0</v>
      </c>
      <c r="L34" s="94" t="str">
        <f t="shared" si="0"/>
        <v>Infiltrating Bioretention without Underdrain42.5H:1V6102000Pre-developed Pasture Standard</v>
      </c>
      <c r="M34" s="94" t="s">
        <v>82</v>
      </c>
    </row>
    <row r="35" spans="1:13" x14ac:dyDescent="0.25">
      <c r="A35" s="27" t="s">
        <v>246</v>
      </c>
      <c r="B35" s="29" t="s">
        <v>57</v>
      </c>
      <c r="C35" s="29">
        <v>6</v>
      </c>
      <c r="D35" s="27">
        <v>1</v>
      </c>
      <c r="E35" s="26">
        <v>2000</v>
      </c>
      <c r="F35" s="26">
        <v>10000</v>
      </c>
      <c r="G35" s="26" t="s">
        <v>7</v>
      </c>
      <c r="H35" s="105">
        <v>4.8000000000000001E-2</v>
      </c>
      <c r="I35" s="105">
        <v>8.8000000000000007</v>
      </c>
      <c r="L35" s="94" t="str">
        <f t="shared" si="0"/>
        <v>Infiltrating Bioretention without Underdrain42.5H:1V61200010000Pre-developed Pasture Standard</v>
      </c>
      <c r="M35" s="94" t="s">
        <v>82</v>
      </c>
    </row>
    <row r="36" spans="1:13" x14ac:dyDescent="0.25">
      <c r="A36" s="27" t="s">
        <v>246</v>
      </c>
      <c r="B36" s="29" t="s">
        <v>57</v>
      </c>
      <c r="C36" s="29">
        <v>6</v>
      </c>
      <c r="D36" s="28">
        <v>2.5</v>
      </c>
      <c r="E36" s="26">
        <v>0</v>
      </c>
      <c r="F36" s="26">
        <v>2000</v>
      </c>
      <c r="G36" s="26" t="s">
        <v>7</v>
      </c>
      <c r="H36" s="105">
        <v>2.1000000000000001E-2</v>
      </c>
      <c r="I36" s="105">
        <v>0</v>
      </c>
      <c r="L36" s="94" t="str">
        <f t="shared" si="0"/>
        <v>Infiltrating Bioretention without Underdrain42.5H:1V62.502000Pre-developed Pasture Standard</v>
      </c>
      <c r="M36" s="94" t="s">
        <v>82</v>
      </c>
    </row>
    <row r="37" spans="1:13" x14ac:dyDescent="0.25">
      <c r="A37" s="33" t="s">
        <v>246</v>
      </c>
      <c r="B37" s="30" t="s">
        <v>57</v>
      </c>
      <c r="C37" s="30">
        <v>6</v>
      </c>
      <c r="D37" s="31">
        <v>2.5</v>
      </c>
      <c r="E37" s="32">
        <v>2000</v>
      </c>
      <c r="F37" s="32">
        <v>10000</v>
      </c>
      <c r="G37" s="32" t="s">
        <v>7</v>
      </c>
      <c r="H37" s="103">
        <v>1.77E-2</v>
      </c>
      <c r="I37" s="103">
        <v>3.5</v>
      </c>
      <c r="J37" s="97"/>
      <c r="K37" s="97"/>
      <c r="L37" s="97" t="str">
        <f t="shared" si="0"/>
        <v>Infiltrating Bioretention without Underdrain42.5H:1V62.5200010000Pre-developed Pasture Standard</v>
      </c>
      <c r="M37" s="94" t="s">
        <v>82</v>
      </c>
    </row>
    <row r="38" spans="1:13" x14ac:dyDescent="0.25">
      <c r="A38" s="27" t="s">
        <v>246</v>
      </c>
      <c r="B38" s="29" t="s">
        <v>57</v>
      </c>
      <c r="C38" s="29">
        <v>6</v>
      </c>
      <c r="D38" s="27">
        <v>0.15</v>
      </c>
      <c r="E38" s="26"/>
      <c r="F38" s="26"/>
      <c r="G38" s="26" t="s">
        <v>71</v>
      </c>
      <c r="H38" s="109" t="s">
        <v>70</v>
      </c>
      <c r="J38" s="94" t="s">
        <v>75</v>
      </c>
      <c r="L38" s="94" t="str">
        <f t="shared" si="0"/>
        <v>Infiltrating Bioretention without Underdrain42.5H:1V60.15Peak Control Standard</v>
      </c>
      <c r="M38" s="94" t="s">
        <v>82</v>
      </c>
    </row>
    <row r="39" spans="1:13" x14ac:dyDescent="0.25">
      <c r="A39" s="27" t="s">
        <v>246</v>
      </c>
      <c r="B39" s="29" t="s">
        <v>57</v>
      </c>
      <c r="C39" s="29">
        <v>6</v>
      </c>
      <c r="D39" s="27">
        <v>0.3</v>
      </c>
      <c r="E39" s="26"/>
      <c r="F39" s="26"/>
      <c r="G39" s="26" t="s">
        <v>71</v>
      </c>
      <c r="H39" s="105">
        <v>0.14000000000000001</v>
      </c>
      <c r="I39" s="105">
        <v>0</v>
      </c>
      <c r="L39" s="94" t="str">
        <f t="shared" si="0"/>
        <v>Infiltrating Bioretention without Underdrain42.5H:1V60.3Peak Control Standard</v>
      </c>
      <c r="M39" s="94" t="s">
        <v>82</v>
      </c>
    </row>
    <row r="40" spans="1:13" x14ac:dyDescent="0.25">
      <c r="A40" s="27" t="s">
        <v>246</v>
      </c>
      <c r="B40" s="29" t="s">
        <v>57</v>
      </c>
      <c r="C40" s="29">
        <v>6</v>
      </c>
      <c r="D40" s="27">
        <v>0.6</v>
      </c>
      <c r="E40" s="26"/>
      <c r="F40" s="26"/>
      <c r="G40" s="26" t="s">
        <v>71</v>
      </c>
      <c r="H40" s="105">
        <v>9.6000000000000002E-2</v>
      </c>
      <c r="I40" s="105">
        <v>0</v>
      </c>
      <c r="L40" s="94" t="str">
        <f t="shared" si="0"/>
        <v>Infiltrating Bioretention without Underdrain42.5H:1V60.6Peak Control Standard</v>
      </c>
      <c r="M40" s="94" t="s">
        <v>82</v>
      </c>
    </row>
    <row r="41" spans="1:13" x14ac:dyDescent="0.25">
      <c r="A41" s="27" t="s">
        <v>246</v>
      </c>
      <c r="B41" s="29" t="s">
        <v>57</v>
      </c>
      <c r="C41" s="29">
        <v>6</v>
      </c>
      <c r="D41" s="27">
        <v>1</v>
      </c>
      <c r="E41" s="26"/>
      <c r="F41" s="26"/>
      <c r="G41" s="26" t="s">
        <v>71</v>
      </c>
      <c r="H41" s="105">
        <v>8.5999999999999993E-2</v>
      </c>
      <c r="I41" s="105">
        <v>0</v>
      </c>
      <c r="L41" s="94" t="str">
        <f t="shared" si="0"/>
        <v>Infiltrating Bioretention without Underdrain42.5H:1V61Peak Control Standard</v>
      </c>
      <c r="M41" s="94" t="s">
        <v>82</v>
      </c>
    </row>
    <row r="42" spans="1:13" x14ac:dyDescent="0.25">
      <c r="A42" s="33" t="s">
        <v>246</v>
      </c>
      <c r="B42" s="30" t="s">
        <v>57</v>
      </c>
      <c r="C42" s="30">
        <v>6</v>
      </c>
      <c r="D42" s="31">
        <v>2.5</v>
      </c>
      <c r="E42" s="32"/>
      <c r="F42" s="32"/>
      <c r="G42" s="32" t="s">
        <v>71</v>
      </c>
      <c r="H42" s="103">
        <v>4.7E-2</v>
      </c>
      <c r="I42" s="103">
        <v>0</v>
      </c>
      <c r="J42" s="97"/>
      <c r="K42" s="97"/>
      <c r="L42" s="97" t="str">
        <f t="shared" si="0"/>
        <v>Infiltrating Bioretention without Underdrain42.5H:1V62.5Peak Control Standard</v>
      </c>
      <c r="M42" s="94" t="s">
        <v>82</v>
      </c>
    </row>
    <row r="43" spans="1:13" x14ac:dyDescent="0.25">
      <c r="A43" s="27" t="s">
        <v>246</v>
      </c>
      <c r="B43" s="29" t="s">
        <v>57</v>
      </c>
      <c r="C43" s="29">
        <v>6</v>
      </c>
      <c r="D43" s="27">
        <v>0.15</v>
      </c>
      <c r="E43" s="26">
        <v>0</v>
      </c>
      <c r="F43" s="26">
        <v>2000</v>
      </c>
      <c r="G43" s="26" t="s">
        <v>72</v>
      </c>
      <c r="H43" s="109" t="s">
        <v>70</v>
      </c>
      <c r="J43" s="94" t="s">
        <v>75</v>
      </c>
      <c r="L43" s="94" t="str">
        <f t="shared" si="0"/>
        <v>Infiltrating Bioretention without Underdrain42.5H:1V60.1502000Water Quality Treatment</v>
      </c>
      <c r="M43" s="94" t="s">
        <v>82</v>
      </c>
    </row>
    <row r="44" spans="1:13" x14ac:dyDescent="0.25">
      <c r="A44" s="27" t="s">
        <v>246</v>
      </c>
      <c r="B44" s="29" t="s">
        <v>57</v>
      </c>
      <c r="C44" s="29">
        <v>6</v>
      </c>
      <c r="D44" s="27">
        <v>0.15</v>
      </c>
      <c r="E44" s="26">
        <v>2000</v>
      </c>
      <c r="F44" s="26">
        <v>10000</v>
      </c>
      <c r="G44" s="26" t="s">
        <v>72</v>
      </c>
      <c r="H44" s="109" t="s">
        <v>70</v>
      </c>
      <c r="J44" s="94" t="s">
        <v>75</v>
      </c>
      <c r="L44" s="94" t="str">
        <f t="shared" si="0"/>
        <v>Infiltrating Bioretention without Underdrain42.5H:1V60.15200010000Water Quality Treatment</v>
      </c>
    </row>
    <row r="45" spans="1:13" x14ac:dyDescent="0.25">
      <c r="A45" s="27" t="s">
        <v>246</v>
      </c>
      <c r="B45" s="29" t="s">
        <v>57</v>
      </c>
      <c r="C45" s="29">
        <v>6</v>
      </c>
      <c r="D45" s="27">
        <v>0.3</v>
      </c>
      <c r="E45" s="26">
        <v>0</v>
      </c>
      <c r="F45" s="26">
        <v>2000</v>
      </c>
      <c r="G45" s="26" t="s">
        <v>72</v>
      </c>
      <c r="H45" s="105">
        <v>1.4999999999999999E-2</v>
      </c>
      <c r="I45" s="105">
        <v>0</v>
      </c>
      <c r="L45" s="94" t="str">
        <f t="shared" si="0"/>
        <v>Infiltrating Bioretention without Underdrain42.5H:1V60.302000Water Quality Treatment</v>
      </c>
      <c r="M45" s="94" t="s">
        <v>82</v>
      </c>
    </row>
    <row r="46" spans="1:13" x14ac:dyDescent="0.25">
      <c r="A46" s="27" t="s">
        <v>246</v>
      </c>
      <c r="B46" s="29" t="s">
        <v>57</v>
      </c>
      <c r="C46" s="29">
        <v>6</v>
      </c>
      <c r="D46" s="27">
        <v>0.3</v>
      </c>
      <c r="E46" s="26">
        <v>2000</v>
      </c>
      <c r="F46" s="26">
        <v>10000</v>
      </c>
      <c r="G46" s="26" t="s">
        <v>72</v>
      </c>
      <c r="H46" s="105">
        <v>4.3099999999999999E-2</v>
      </c>
      <c r="I46" s="105">
        <v>-62.9</v>
      </c>
      <c r="L46" s="94" t="str">
        <f t="shared" si="0"/>
        <v>Infiltrating Bioretention without Underdrain42.5H:1V60.3200010000Water Quality Treatment</v>
      </c>
    </row>
    <row r="47" spans="1:13" x14ac:dyDescent="0.25">
      <c r="A47" s="27" t="s">
        <v>246</v>
      </c>
      <c r="B47" s="29" t="s">
        <v>57</v>
      </c>
      <c r="C47" s="29">
        <v>6</v>
      </c>
      <c r="D47" s="27">
        <v>0.6</v>
      </c>
      <c r="E47" s="26">
        <v>0</v>
      </c>
      <c r="F47" s="26">
        <v>2000</v>
      </c>
      <c r="G47" s="26" t="s">
        <v>72</v>
      </c>
      <c r="H47" s="105">
        <v>7.0000000000000001E-3</v>
      </c>
      <c r="I47" s="105">
        <v>0</v>
      </c>
      <c r="L47" s="94" t="str">
        <f t="shared" si="0"/>
        <v>Infiltrating Bioretention without Underdrain42.5H:1V60.602000Water Quality Treatment</v>
      </c>
      <c r="M47" s="94" t="s">
        <v>82</v>
      </c>
    </row>
    <row r="48" spans="1:13" x14ac:dyDescent="0.25">
      <c r="A48" s="27" t="s">
        <v>246</v>
      </c>
      <c r="B48" s="29" t="s">
        <v>57</v>
      </c>
      <c r="C48" s="29">
        <v>6</v>
      </c>
      <c r="D48" s="27">
        <v>0.6</v>
      </c>
      <c r="E48" s="26">
        <v>2000</v>
      </c>
      <c r="F48" s="26">
        <v>10000</v>
      </c>
      <c r="G48" s="26" t="s">
        <v>72</v>
      </c>
      <c r="H48" s="105">
        <v>2.5899999999999999E-2</v>
      </c>
      <c r="I48" s="105">
        <v>-43.7</v>
      </c>
      <c r="L48" s="94" t="str">
        <f t="shared" si="0"/>
        <v>Infiltrating Bioretention without Underdrain42.5H:1V60.6200010000Water Quality Treatment</v>
      </c>
    </row>
    <row r="49" spans="1:13" x14ac:dyDescent="0.25">
      <c r="A49" s="27" t="s">
        <v>246</v>
      </c>
      <c r="B49" s="29" t="s">
        <v>57</v>
      </c>
      <c r="C49" s="29">
        <v>6</v>
      </c>
      <c r="D49" s="27">
        <v>1</v>
      </c>
      <c r="E49" s="26">
        <v>0</v>
      </c>
      <c r="F49" s="26">
        <v>2000</v>
      </c>
      <c r="G49" s="26" t="s">
        <v>72</v>
      </c>
      <c r="H49" s="105">
        <v>7.0000000000000001E-3</v>
      </c>
      <c r="I49" s="105">
        <v>0</v>
      </c>
      <c r="L49" s="94" t="str">
        <f t="shared" si="0"/>
        <v>Infiltrating Bioretention without Underdrain42.5H:1V6102000Water Quality Treatment</v>
      </c>
      <c r="M49" s="94" t="s">
        <v>82</v>
      </c>
    </row>
    <row r="50" spans="1:13" x14ac:dyDescent="0.25">
      <c r="A50" s="27" t="s">
        <v>246</v>
      </c>
      <c r="B50" s="29" t="s">
        <v>57</v>
      </c>
      <c r="C50" s="29">
        <v>6</v>
      </c>
      <c r="D50" s="27">
        <v>1</v>
      </c>
      <c r="E50" s="26">
        <v>2000</v>
      </c>
      <c r="F50" s="26">
        <v>10000</v>
      </c>
      <c r="G50" s="26" t="s">
        <v>72</v>
      </c>
      <c r="H50" s="105">
        <v>2.24E-2</v>
      </c>
      <c r="I50" s="105">
        <v>-36.5</v>
      </c>
      <c r="L50" s="94" t="str">
        <f t="shared" si="0"/>
        <v>Infiltrating Bioretention without Underdrain42.5H:1V61200010000Water Quality Treatment</v>
      </c>
    </row>
    <row r="51" spans="1:13" x14ac:dyDescent="0.25">
      <c r="A51" s="27" t="s">
        <v>246</v>
      </c>
      <c r="B51" s="29" t="s">
        <v>57</v>
      </c>
      <c r="C51" s="29">
        <v>6</v>
      </c>
      <c r="D51" s="27">
        <v>2.5</v>
      </c>
      <c r="E51" s="26">
        <v>0</v>
      </c>
      <c r="F51" s="26">
        <v>2000</v>
      </c>
      <c r="G51" s="26" t="s">
        <v>72</v>
      </c>
      <c r="H51" s="105">
        <v>5.0000000000000001E-3</v>
      </c>
      <c r="I51" s="105">
        <v>0</v>
      </c>
      <c r="L51" s="94" t="str">
        <f t="shared" si="0"/>
        <v>Infiltrating Bioretention without Underdrain42.5H:1V62.502000Water Quality Treatment</v>
      </c>
    </row>
    <row r="52" spans="1:13" x14ac:dyDescent="0.25">
      <c r="A52" s="33" t="s">
        <v>246</v>
      </c>
      <c r="B52" s="30" t="s">
        <v>57</v>
      </c>
      <c r="C52" s="30">
        <v>6</v>
      </c>
      <c r="D52" s="31">
        <v>2.5</v>
      </c>
      <c r="E52" s="32">
        <v>2000</v>
      </c>
      <c r="F52" s="32">
        <v>10000</v>
      </c>
      <c r="G52" s="32" t="s">
        <v>72</v>
      </c>
      <c r="H52" s="103">
        <v>9.1999999999999998E-3</v>
      </c>
      <c r="I52" s="103">
        <v>-9.6999999999999993</v>
      </c>
      <c r="J52" s="97"/>
      <c r="K52" s="97"/>
      <c r="L52" s="97" t="str">
        <f t="shared" si="0"/>
        <v>Infiltrating Bioretention without Underdrain42.5H:1V62.5200010000Water Quality Treatment</v>
      </c>
      <c r="M52" s="94" t="s">
        <v>82</v>
      </c>
    </row>
    <row r="53" spans="1:13" x14ac:dyDescent="0.25">
      <c r="A53" s="27" t="s">
        <v>246</v>
      </c>
      <c r="B53" s="29" t="s">
        <v>57</v>
      </c>
      <c r="C53" s="29">
        <v>12</v>
      </c>
      <c r="D53" s="27">
        <v>0.15</v>
      </c>
      <c r="E53" s="26">
        <v>0</v>
      </c>
      <c r="F53" s="26">
        <v>2000</v>
      </c>
      <c r="G53" s="26" t="s">
        <v>7</v>
      </c>
      <c r="H53" s="109" t="s">
        <v>70</v>
      </c>
      <c r="J53" s="94" t="s">
        <v>75</v>
      </c>
      <c r="L53" s="94" t="str">
        <f t="shared" si="0"/>
        <v>Infiltrating Bioretention without Underdrain42.5H:1V120.1502000Pre-developed Pasture Standard</v>
      </c>
      <c r="M53" s="94" t="s">
        <v>82</v>
      </c>
    </row>
    <row r="54" spans="1:13" x14ac:dyDescent="0.25">
      <c r="A54" s="27" t="s">
        <v>246</v>
      </c>
      <c r="B54" s="29" t="s">
        <v>57</v>
      </c>
      <c r="C54" s="29">
        <v>12</v>
      </c>
      <c r="D54" s="27">
        <v>0.15</v>
      </c>
      <c r="E54" s="26">
        <v>2000</v>
      </c>
      <c r="F54" s="26">
        <v>10000</v>
      </c>
      <c r="G54" s="26" t="s">
        <v>7</v>
      </c>
      <c r="H54" s="109" t="s">
        <v>70</v>
      </c>
      <c r="J54" s="94" t="s">
        <v>75</v>
      </c>
      <c r="L54" s="94" t="str">
        <f t="shared" si="0"/>
        <v>Infiltrating Bioretention without Underdrain42.5H:1V120.15200010000Pre-developed Pasture Standard</v>
      </c>
      <c r="M54" s="94" t="s">
        <v>82</v>
      </c>
    </row>
    <row r="55" spans="1:13" x14ac:dyDescent="0.25">
      <c r="A55" s="27" t="s">
        <v>246</v>
      </c>
      <c r="B55" s="29" t="s">
        <v>57</v>
      </c>
      <c r="C55" s="29">
        <v>12</v>
      </c>
      <c r="D55" s="27">
        <v>0.3</v>
      </c>
      <c r="E55" s="26">
        <v>0</v>
      </c>
      <c r="F55" s="26">
        <v>2000</v>
      </c>
      <c r="G55" s="26" t="s">
        <v>7</v>
      </c>
      <c r="H55" s="109" t="s">
        <v>70</v>
      </c>
      <c r="J55" s="94" t="s">
        <v>75</v>
      </c>
      <c r="L55" s="94" t="str">
        <f t="shared" si="0"/>
        <v>Infiltrating Bioretention without Underdrain42.5H:1V120.302000Pre-developed Pasture Standard</v>
      </c>
      <c r="M55" s="94" t="s">
        <v>82</v>
      </c>
    </row>
    <row r="56" spans="1:13" x14ac:dyDescent="0.25">
      <c r="A56" s="27" t="s">
        <v>246</v>
      </c>
      <c r="B56" s="29" t="s">
        <v>57</v>
      </c>
      <c r="C56" s="29">
        <v>12</v>
      </c>
      <c r="D56" s="27">
        <v>0.3</v>
      </c>
      <c r="E56" s="26">
        <v>2000</v>
      </c>
      <c r="F56" s="26">
        <v>10000</v>
      </c>
      <c r="G56" s="26" t="s">
        <v>7</v>
      </c>
      <c r="H56" s="109" t="s">
        <v>70</v>
      </c>
      <c r="J56" s="94" t="s">
        <v>75</v>
      </c>
      <c r="L56" s="94" t="str">
        <f t="shared" si="0"/>
        <v>Infiltrating Bioretention without Underdrain42.5H:1V120.3200010000Pre-developed Pasture Standard</v>
      </c>
      <c r="M56" s="94" t="s">
        <v>82</v>
      </c>
    </row>
    <row r="57" spans="1:13" x14ac:dyDescent="0.25">
      <c r="A57" s="27" t="s">
        <v>246</v>
      </c>
      <c r="B57" s="29" t="s">
        <v>57</v>
      </c>
      <c r="C57" s="29">
        <v>12</v>
      </c>
      <c r="D57" s="27">
        <v>0.6</v>
      </c>
      <c r="E57" s="26">
        <v>0</v>
      </c>
      <c r="F57" s="26">
        <v>2000</v>
      </c>
      <c r="G57" s="26" t="s">
        <v>7</v>
      </c>
      <c r="H57" s="105">
        <v>3.3000000000000002E-2</v>
      </c>
      <c r="I57" s="105">
        <v>0</v>
      </c>
      <c r="L57" s="94" t="str">
        <f t="shared" si="0"/>
        <v>Infiltrating Bioretention without Underdrain42.5H:1V120.602000Pre-developed Pasture Standard</v>
      </c>
      <c r="M57" s="94" t="s">
        <v>82</v>
      </c>
    </row>
    <row r="58" spans="1:13" x14ac:dyDescent="0.25">
      <c r="A58" s="27" t="s">
        <v>246</v>
      </c>
      <c r="B58" s="29" t="s">
        <v>57</v>
      </c>
      <c r="C58" s="29">
        <v>12</v>
      </c>
      <c r="D58" s="27">
        <v>0.6</v>
      </c>
      <c r="E58" s="26">
        <v>2000</v>
      </c>
      <c r="F58" s="26">
        <v>10000</v>
      </c>
      <c r="G58" s="26" t="s">
        <v>7</v>
      </c>
      <c r="H58" s="105">
        <v>3.95E-2</v>
      </c>
      <c r="I58" s="105">
        <v>-16.100000000000001</v>
      </c>
      <c r="L58" s="94" t="str">
        <f t="shared" si="0"/>
        <v>Infiltrating Bioretention without Underdrain42.5H:1V120.6200010000Pre-developed Pasture Standard</v>
      </c>
      <c r="M58" s="94" t="s">
        <v>82</v>
      </c>
    </row>
    <row r="59" spans="1:13" x14ac:dyDescent="0.25">
      <c r="A59" s="27" t="s">
        <v>246</v>
      </c>
      <c r="B59" s="29" t="s">
        <v>57</v>
      </c>
      <c r="C59" s="29">
        <v>12</v>
      </c>
      <c r="D59" s="27">
        <v>1</v>
      </c>
      <c r="E59" s="26">
        <v>0</v>
      </c>
      <c r="F59" s="26">
        <v>2000</v>
      </c>
      <c r="G59" s="26" t="s">
        <v>7</v>
      </c>
      <c r="H59" s="105">
        <v>2.8000000000000001E-2</v>
      </c>
      <c r="I59" s="105">
        <v>0</v>
      </c>
      <c r="L59" s="94" t="str">
        <f t="shared" si="0"/>
        <v>Infiltrating Bioretention without Underdrain42.5H:1V12102000Pre-developed Pasture Standard</v>
      </c>
      <c r="M59" s="94" t="s">
        <v>82</v>
      </c>
    </row>
    <row r="60" spans="1:13" x14ac:dyDescent="0.25">
      <c r="A60" s="27" t="s">
        <v>246</v>
      </c>
      <c r="B60" s="29" t="s">
        <v>57</v>
      </c>
      <c r="C60" s="29">
        <v>12</v>
      </c>
      <c r="D60" s="27">
        <v>1</v>
      </c>
      <c r="E60" s="26">
        <v>2000</v>
      </c>
      <c r="F60" s="26">
        <v>10000</v>
      </c>
      <c r="G60" s="26" t="s">
        <v>7</v>
      </c>
      <c r="H60" s="105">
        <v>3.3500000000000002E-2</v>
      </c>
      <c r="I60" s="105">
        <v>-13.3</v>
      </c>
      <c r="L60" s="94" t="str">
        <f t="shared" si="0"/>
        <v>Infiltrating Bioretention without Underdrain42.5H:1V121200010000Pre-developed Pasture Standard</v>
      </c>
      <c r="M60" s="94" t="s">
        <v>82</v>
      </c>
    </row>
    <row r="61" spans="1:13" x14ac:dyDescent="0.25">
      <c r="A61" s="27" t="s">
        <v>246</v>
      </c>
      <c r="B61" s="29" t="s">
        <v>57</v>
      </c>
      <c r="C61" s="29">
        <v>12</v>
      </c>
      <c r="D61" s="28">
        <v>2.5</v>
      </c>
      <c r="E61" s="26">
        <v>0</v>
      </c>
      <c r="F61" s="26">
        <v>2000</v>
      </c>
      <c r="G61" s="26" t="s">
        <v>7</v>
      </c>
      <c r="H61" s="105">
        <v>0.01</v>
      </c>
      <c r="I61" s="105">
        <v>0</v>
      </c>
      <c r="L61" s="94" t="str">
        <f t="shared" si="0"/>
        <v>Infiltrating Bioretention without Underdrain42.5H:1V122.502000Pre-developed Pasture Standard</v>
      </c>
      <c r="M61" s="94" t="s">
        <v>82</v>
      </c>
    </row>
    <row r="62" spans="1:13" x14ac:dyDescent="0.25">
      <c r="A62" s="33" t="s">
        <v>246</v>
      </c>
      <c r="B62" s="30" t="s">
        <v>57</v>
      </c>
      <c r="C62" s="30">
        <v>12</v>
      </c>
      <c r="D62" s="31">
        <v>2.5</v>
      </c>
      <c r="E62" s="32">
        <v>2000</v>
      </c>
      <c r="F62" s="32">
        <v>10000</v>
      </c>
      <c r="G62" s="32" t="s">
        <v>7</v>
      </c>
      <c r="H62" s="103">
        <v>1.0999999999999999E-2</v>
      </c>
      <c r="I62" s="103">
        <v>-3</v>
      </c>
      <c r="J62" s="97"/>
      <c r="K62" s="97"/>
      <c r="L62" s="97" t="str">
        <f t="shared" si="0"/>
        <v>Infiltrating Bioretention without Underdrain42.5H:1V122.5200010000Pre-developed Pasture Standard</v>
      </c>
      <c r="M62" s="94" t="s">
        <v>82</v>
      </c>
    </row>
    <row r="63" spans="1:13" x14ac:dyDescent="0.25">
      <c r="A63" s="27" t="s">
        <v>246</v>
      </c>
      <c r="B63" s="29" t="s">
        <v>57</v>
      </c>
      <c r="C63" s="29">
        <v>12</v>
      </c>
      <c r="D63" s="27">
        <v>0.15</v>
      </c>
      <c r="G63" s="26" t="s">
        <v>71</v>
      </c>
      <c r="H63" s="109" t="s">
        <v>70</v>
      </c>
      <c r="J63" s="94" t="s">
        <v>75</v>
      </c>
      <c r="L63" s="94" t="str">
        <f t="shared" si="0"/>
        <v>Infiltrating Bioretention without Underdrain42.5H:1V120.15Peak Control Standard</v>
      </c>
      <c r="M63" s="94" t="s">
        <v>82</v>
      </c>
    </row>
    <row r="64" spans="1:13" x14ac:dyDescent="0.25">
      <c r="A64" s="27" t="s">
        <v>246</v>
      </c>
      <c r="B64" s="29" t="s">
        <v>57</v>
      </c>
      <c r="C64" s="29">
        <v>12</v>
      </c>
      <c r="D64" s="27">
        <v>0.3</v>
      </c>
      <c r="G64" s="26" t="s">
        <v>71</v>
      </c>
      <c r="H64" s="109" t="s">
        <v>70</v>
      </c>
      <c r="J64" s="94" t="s">
        <v>75</v>
      </c>
      <c r="L64" s="94" t="str">
        <f t="shared" si="0"/>
        <v>Infiltrating Bioretention without Underdrain42.5H:1V120.3Peak Control Standard</v>
      </c>
      <c r="M64" s="94" t="s">
        <v>82</v>
      </c>
    </row>
    <row r="65" spans="1:13" x14ac:dyDescent="0.25">
      <c r="A65" s="27" t="s">
        <v>246</v>
      </c>
      <c r="B65" s="29" t="s">
        <v>57</v>
      </c>
      <c r="C65" s="29">
        <v>12</v>
      </c>
      <c r="D65" s="27">
        <v>0.6</v>
      </c>
      <c r="G65" s="26" t="s">
        <v>71</v>
      </c>
      <c r="H65" s="105">
        <v>7.0000000000000007E-2</v>
      </c>
      <c r="I65" s="105">
        <v>0</v>
      </c>
      <c r="L65" s="94" t="str">
        <f t="shared" si="0"/>
        <v>Infiltrating Bioretention without Underdrain42.5H:1V120.6Peak Control Standard</v>
      </c>
      <c r="M65" s="94" t="s">
        <v>82</v>
      </c>
    </row>
    <row r="66" spans="1:13" x14ac:dyDescent="0.25">
      <c r="A66" s="27" t="s">
        <v>246</v>
      </c>
      <c r="B66" s="29" t="s">
        <v>57</v>
      </c>
      <c r="C66" s="29">
        <v>12</v>
      </c>
      <c r="D66" s="27">
        <v>1</v>
      </c>
      <c r="G66" s="26" t="s">
        <v>71</v>
      </c>
      <c r="H66" s="105">
        <v>6.0999999999999999E-2</v>
      </c>
      <c r="I66" s="105">
        <v>0</v>
      </c>
      <c r="L66" s="94" t="str">
        <f t="shared" si="0"/>
        <v>Infiltrating Bioretention without Underdrain42.5H:1V121Peak Control Standard</v>
      </c>
      <c r="M66" s="94" t="s">
        <v>82</v>
      </c>
    </row>
    <row r="67" spans="1:13" x14ac:dyDescent="0.25">
      <c r="A67" s="33" t="s">
        <v>246</v>
      </c>
      <c r="B67" s="30" t="s">
        <v>57</v>
      </c>
      <c r="C67" s="30">
        <v>12</v>
      </c>
      <c r="D67" s="31">
        <v>2.5</v>
      </c>
      <c r="E67" s="99"/>
      <c r="F67" s="99"/>
      <c r="G67" s="32" t="s">
        <v>71</v>
      </c>
      <c r="H67" s="103">
        <v>2.8000000000000001E-2</v>
      </c>
      <c r="I67" s="103">
        <v>0</v>
      </c>
      <c r="J67" s="97"/>
      <c r="K67" s="97"/>
      <c r="L67" s="97" t="str">
        <f t="shared" si="0"/>
        <v>Infiltrating Bioretention without Underdrain42.5H:1V122.5Peak Control Standard</v>
      </c>
      <c r="M67" s="94" t="s">
        <v>82</v>
      </c>
    </row>
    <row r="68" spans="1:13" x14ac:dyDescent="0.25">
      <c r="A68" s="27" t="s">
        <v>246</v>
      </c>
      <c r="B68" s="29" t="s">
        <v>57</v>
      </c>
      <c r="C68" s="29">
        <v>12</v>
      </c>
      <c r="D68" s="27">
        <v>0.15</v>
      </c>
      <c r="E68" s="26">
        <v>0</v>
      </c>
      <c r="F68" s="26">
        <v>2000</v>
      </c>
      <c r="G68" s="26" t="s">
        <v>72</v>
      </c>
      <c r="H68" s="109" t="s">
        <v>70</v>
      </c>
      <c r="J68" s="94" t="s">
        <v>75</v>
      </c>
      <c r="L68" s="94" t="str">
        <f t="shared" si="0"/>
        <v>Infiltrating Bioretention without Underdrain42.5H:1V120.1502000Water Quality Treatment</v>
      </c>
      <c r="M68" s="94" t="s">
        <v>82</v>
      </c>
    </row>
    <row r="69" spans="1:13" x14ac:dyDescent="0.25">
      <c r="A69" s="27" t="s">
        <v>246</v>
      </c>
      <c r="B69" s="29" t="s">
        <v>57</v>
      </c>
      <c r="C69" s="29">
        <v>12</v>
      </c>
      <c r="D69" s="27">
        <v>0.15</v>
      </c>
      <c r="E69" s="26">
        <v>2000</v>
      </c>
      <c r="F69" s="26">
        <v>10000</v>
      </c>
      <c r="G69" s="26" t="s">
        <v>72</v>
      </c>
      <c r="H69" s="109" t="s">
        <v>70</v>
      </c>
      <c r="J69" s="94" t="s">
        <v>75</v>
      </c>
      <c r="L69" s="94" t="str">
        <f t="shared" si="0"/>
        <v>Infiltrating Bioretention without Underdrain42.5H:1V120.15200010000Water Quality Treatment</v>
      </c>
    </row>
    <row r="70" spans="1:13" x14ac:dyDescent="0.25">
      <c r="A70" s="27" t="s">
        <v>246</v>
      </c>
      <c r="B70" s="29" t="s">
        <v>57</v>
      </c>
      <c r="C70" s="29">
        <v>12</v>
      </c>
      <c r="D70" s="27">
        <v>0.3</v>
      </c>
      <c r="E70" s="26">
        <v>0</v>
      </c>
      <c r="F70" s="26">
        <v>2000</v>
      </c>
      <c r="G70" s="26" t="s">
        <v>72</v>
      </c>
      <c r="H70" s="109" t="s">
        <v>70</v>
      </c>
      <c r="J70" s="94" t="s">
        <v>75</v>
      </c>
      <c r="L70" s="94" t="str">
        <f t="shared" si="0"/>
        <v>Infiltrating Bioretention without Underdrain42.5H:1V120.302000Water Quality Treatment</v>
      </c>
      <c r="M70" s="94" t="s">
        <v>82</v>
      </c>
    </row>
    <row r="71" spans="1:13" x14ac:dyDescent="0.25">
      <c r="A71" s="27" t="s">
        <v>246</v>
      </c>
      <c r="B71" s="29" t="s">
        <v>57</v>
      </c>
      <c r="C71" s="29">
        <v>12</v>
      </c>
      <c r="D71" s="27">
        <v>0.3</v>
      </c>
      <c r="E71" s="26">
        <v>2000</v>
      </c>
      <c r="F71" s="26">
        <v>10000</v>
      </c>
      <c r="G71" s="26" t="s">
        <v>72</v>
      </c>
      <c r="H71" s="109" t="s">
        <v>70</v>
      </c>
      <c r="J71" s="94" t="s">
        <v>75</v>
      </c>
      <c r="L71" s="94" t="str">
        <f t="shared" si="0"/>
        <v>Infiltrating Bioretention without Underdrain42.5H:1V120.3200010000Water Quality Treatment</v>
      </c>
    </row>
    <row r="72" spans="1:13" x14ac:dyDescent="0.25">
      <c r="A72" s="27" t="s">
        <v>246</v>
      </c>
      <c r="B72" s="29" t="s">
        <v>57</v>
      </c>
      <c r="C72" s="29">
        <v>12</v>
      </c>
      <c r="D72" s="27">
        <v>0.6</v>
      </c>
      <c r="E72" s="26">
        <v>0</v>
      </c>
      <c r="F72" s="26">
        <v>2000</v>
      </c>
      <c r="G72" s="26" t="s">
        <v>72</v>
      </c>
      <c r="H72" s="105">
        <v>1.0999999999999999E-2</v>
      </c>
      <c r="L72" s="94" t="str">
        <f t="shared" si="0"/>
        <v>Infiltrating Bioretention without Underdrain42.5H:1V120.602000Water Quality Treatment</v>
      </c>
      <c r="M72" s="94" t="s">
        <v>82</v>
      </c>
    </row>
    <row r="73" spans="1:13" x14ac:dyDescent="0.25">
      <c r="A73" s="27" t="s">
        <v>246</v>
      </c>
      <c r="B73" s="29" t="s">
        <v>57</v>
      </c>
      <c r="C73" s="29">
        <v>12</v>
      </c>
      <c r="D73" s="27">
        <v>0.6</v>
      </c>
      <c r="E73" s="26">
        <v>2000</v>
      </c>
      <c r="F73" s="26">
        <v>10000</v>
      </c>
      <c r="G73" s="26" t="s">
        <v>72</v>
      </c>
      <c r="H73" s="105">
        <v>1.0999999999999999E-2</v>
      </c>
      <c r="L73" s="94" t="str">
        <f t="shared" si="0"/>
        <v>Infiltrating Bioretention without Underdrain42.5H:1V120.6200010000Water Quality Treatment</v>
      </c>
    </row>
    <row r="74" spans="1:13" x14ac:dyDescent="0.25">
      <c r="A74" s="27" t="s">
        <v>246</v>
      </c>
      <c r="B74" s="29" t="s">
        <v>57</v>
      </c>
      <c r="C74" s="29">
        <v>12</v>
      </c>
      <c r="D74" s="27">
        <v>1</v>
      </c>
      <c r="E74" s="26">
        <v>0</v>
      </c>
      <c r="F74" s="26">
        <v>2000</v>
      </c>
      <c r="G74" s="26" t="s">
        <v>72</v>
      </c>
      <c r="H74" s="105">
        <v>0.01</v>
      </c>
      <c r="L74" s="94" t="str">
        <f t="shared" si="0"/>
        <v>Infiltrating Bioretention without Underdrain42.5H:1V12102000Water Quality Treatment</v>
      </c>
      <c r="M74" s="94" t="s">
        <v>82</v>
      </c>
    </row>
    <row r="75" spans="1:13" x14ac:dyDescent="0.25">
      <c r="A75" s="27" t="s">
        <v>246</v>
      </c>
      <c r="B75" s="29" t="s">
        <v>57</v>
      </c>
      <c r="C75" s="29">
        <v>12</v>
      </c>
      <c r="D75" s="27">
        <v>1</v>
      </c>
      <c r="E75" s="26">
        <v>2000</v>
      </c>
      <c r="F75" s="26">
        <v>10000</v>
      </c>
      <c r="G75" s="26" t="s">
        <v>72</v>
      </c>
      <c r="H75" s="105">
        <v>0.01</v>
      </c>
      <c r="L75" s="94" t="str">
        <f t="shared" si="0"/>
        <v>Infiltrating Bioretention without Underdrain42.5H:1V121200010000Water Quality Treatment</v>
      </c>
    </row>
    <row r="76" spans="1:13" x14ac:dyDescent="0.25">
      <c r="A76" s="27" t="s">
        <v>246</v>
      </c>
      <c r="B76" s="29" t="s">
        <v>57</v>
      </c>
      <c r="C76" s="29">
        <v>12</v>
      </c>
      <c r="D76" s="28">
        <v>2.5</v>
      </c>
      <c r="E76" s="26">
        <v>0</v>
      </c>
      <c r="F76" s="26">
        <v>2000</v>
      </c>
      <c r="G76" s="26" t="s">
        <v>72</v>
      </c>
      <c r="H76" s="105">
        <v>4.0000000000000001E-3</v>
      </c>
      <c r="L76" s="94" t="str">
        <f t="shared" si="0"/>
        <v>Infiltrating Bioretention without Underdrain42.5H:1V122.502000Water Quality Treatment</v>
      </c>
    </row>
    <row r="77" spans="1:13" x14ac:dyDescent="0.25">
      <c r="A77" s="33" t="s">
        <v>246</v>
      </c>
      <c r="B77" s="30" t="s">
        <v>57</v>
      </c>
      <c r="C77" s="30">
        <v>12</v>
      </c>
      <c r="D77" s="31">
        <v>2.5</v>
      </c>
      <c r="E77" s="32">
        <v>2000</v>
      </c>
      <c r="F77" s="32">
        <v>10000</v>
      </c>
      <c r="G77" s="32" t="s">
        <v>72</v>
      </c>
      <c r="H77" s="103">
        <v>4.0000000000000001E-3</v>
      </c>
      <c r="I77" s="103"/>
      <c r="J77" s="97"/>
      <c r="K77" s="97"/>
      <c r="L77" s="97" t="str">
        <f t="shared" si="0"/>
        <v>Infiltrating Bioretention without Underdrain42.5H:1V122.5200010000Water Quality Treatment</v>
      </c>
      <c r="M77" s="94" t="s">
        <v>82</v>
      </c>
    </row>
    <row r="78" spans="1:13" x14ac:dyDescent="0.25">
      <c r="A78" s="27" t="s">
        <v>246</v>
      </c>
      <c r="B78" s="29" t="s">
        <v>56</v>
      </c>
      <c r="C78" s="29">
        <v>2</v>
      </c>
      <c r="D78" s="27">
        <v>0.15</v>
      </c>
      <c r="E78" s="26">
        <v>0</v>
      </c>
      <c r="F78" s="26">
        <v>2000</v>
      </c>
      <c r="G78" s="26" t="s">
        <v>7</v>
      </c>
      <c r="H78" s="105" t="s">
        <v>70</v>
      </c>
      <c r="J78" s="94" t="s">
        <v>104</v>
      </c>
      <c r="L78" s="94" t="str">
        <f t="shared" ref="L78:L102" si="1">A78&amp;B78&amp;C78&amp;D78&amp;E78&amp;F78&amp;G78</f>
        <v>Infiltrating Bioretention without Underdrain4Vertical20.1502000Pre-developed Pasture Standard</v>
      </c>
      <c r="M78" s="94" t="s">
        <v>82</v>
      </c>
    </row>
    <row r="79" spans="1:13" x14ac:dyDescent="0.25">
      <c r="A79" s="94" t="s">
        <v>246</v>
      </c>
      <c r="B79" s="94" t="s">
        <v>56</v>
      </c>
      <c r="C79" s="94">
        <v>2</v>
      </c>
      <c r="D79" s="27">
        <v>0.15</v>
      </c>
      <c r="E79" s="26">
        <v>2000</v>
      </c>
      <c r="F79" s="26">
        <v>10000</v>
      </c>
      <c r="G79" s="26" t="s">
        <v>7</v>
      </c>
      <c r="H79" s="105" t="s">
        <v>70</v>
      </c>
      <c r="J79" s="94" t="s">
        <v>104</v>
      </c>
      <c r="L79" s="94" t="str">
        <f t="shared" si="1"/>
        <v>Infiltrating Bioretention without Underdrain4Vertical20.15200010000Pre-developed Pasture Standard</v>
      </c>
      <c r="M79" s="94" t="s">
        <v>82</v>
      </c>
    </row>
    <row r="80" spans="1:13" x14ac:dyDescent="0.25">
      <c r="A80" s="94" t="s">
        <v>246</v>
      </c>
      <c r="B80" s="94" t="s">
        <v>56</v>
      </c>
      <c r="C80" s="94">
        <v>2</v>
      </c>
      <c r="D80" s="27">
        <v>0.3</v>
      </c>
      <c r="E80" s="26">
        <v>0</v>
      </c>
      <c r="F80" s="26">
        <v>2000</v>
      </c>
      <c r="G80" s="26" t="s">
        <v>7</v>
      </c>
      <c r="H80" s="105" t="s">
        <v>70</v>
      </c>
      <c r="J80" s="94" t="s">
        <v>104</v>
      </c>
      <c r="L80" s="94" t="str">
        <f t="shared" si="1"/>
        <v>Infiltrating Bioretention without Underdrain4Vertical20.302000Pre-developed Pasture Standard</v>
      </c>
      <c r="M80" s="94" t="s">
        <v>82</v>
      </c>
    </row>
    <row r="81" spans="1:13" x14ac:dyDescent="0.25">
      <c r="A81" s="94" t="s">
        <v>246</v>
      </c>
      <c r="B81" s="94" t="s">
        <v>56</v>
      </c>
      <c r="C81" s="94">
        <v>2</v>
      </c>
      <c r="D81" s="27">
        <v>0.3</v>
      </c>
      <c r="E81" s="26">
        <v>2000</v>
      </c>
      <c r="F81" s="26">
        <v>10000</v>
      </c>
      <c r="G81" s="26" t="s">
        <v>7</v>
      </c>
      <c r="H81" s="105" t="s">
        <v>70</v>
      </c>
      <c r="J81" s="94" t="s">
        <v>104</v>
      </c>
      <c r="L81" s="94" t="str">
        <f t="shared" si="1"/>
        <v>Infiltrating Bioretention without Underdrain4Vertical20.3200010000Pre-developed Pasture Standard</v>
      </c>
      <c r="M81" s="94" t="s">
        <v>82</v>
      </c>
    </row>
    <row r="82" spans="1:13" x14ac:dyDescent="0.25">
      <c r="A82" s="94" t="s">
        <v>246</v>
      </c>
      <c r="B82" s="94" t="s">
        <v>56</v>
      </c>
      <c r="C82" s="94">
        <v>2</v>
      </c>
      <c r="D82" s="27">
        <v>0.6</v>
      </c>
      <c r="E82" s="26">
        <v>0</v>
      </c>
      <c r="F82" s="26">
        <v>2000</v>
      </c>
      <c r="G82" s="26" t="s">
        <v>7</v>
      </c>
      <c r="H82" s="105" t="s">
        <v>70</v>
      </c>
      <c r="J82" s="94" t="s">
        <v>104</v>
      </c>
      <c r="L82" s="94" t="str">
        <f t="shared" si="1"/>
        <v>Infiltrating Bioretention without Underdrain4Vertical20.602000Pre-developed Pasture Standard</v>
      </c>
      <c r="M82" s="94" t="s">
        <v>82</v>
      </c>
    </row>
    <row r="83" spans="1:13" x14ac:dyDescent="0.25">
      <c r="A83" s="94" t="s">
        <v>246</v>
      </c>
      <c r="B83" s="94" t="s">
        <v>56</v>
      </c>
      <c r="C83" s="94">
        <v>2</v>
      </c>
      <c r="D83" s="27">
        <v>0.6</v>
      </c>
      <c r="E83" s="26">
        <v>2000</v>
      </c>
      <c r="F83" s="26">
        <v>10000</v>
      </c>
      <c r="G83" s="26" t="s">
        <v>7</v>
      </c>
      <c r="H83" s="105" t="s">
        <v>70</v>
      </c>
      <c r="J83" s="94" t="s">
        <v>104</v>
      </c>
      <c r="L83" s="94" t="str">
        <f t="shared" si="1"/>
        <v>Infiltrating Bioretention without Underdrain4Vertical20.6200010000Pre-developed Pasture Standard</v>
      </c>
      <c r="M83" s="94" t="s">
        <v>82</v>
      </c>
    </row>
    <row r="84" spans="1:13" x14ac:dyDescent="0.25">
      <c r="A84" s="94" t="s">
        <v>246</v>
      </c>
      <c r="B84" s="94" t="s">
        <v>56</v>
      </c>
      <c r="C84" s="94">
        <v>2</v>
      </c>
      <c r="D84" s="27">
        <v>1</v>
      </c>
      <c r="E84" s="26">
        <v>0</v>
      </c>
      <c r="F84" s="26">
        <v>2000</v>
      </c>
      <c r="G84" s="26" t="s">
        <v>7</v>
      </c>
      <c r="H84" s="115">
        <v>0.2</v>
      </c>
      <c r="L84" s="94" t="str">
        <f t="shared" si="1"/>
        <v>Infiltrating Bioretention without Underdrain4Vertical2102000Pre-developed Pasture Standard</v>
      </c>
      <c r="M84" s="94" t="s">
        <v>82</v>
      </c>
    </row>
    <row r="85" spans="1:13" x14ac:dyDescent="0.25">
      <c r="A85" s="94" t="s">
        <v>246</v>
      </c>
      <c r="B85" s="94" t="s">
        <v>56</v>
      </c>
      <c r="C85" s="94">
        <v>2</v>
      </c>
      <c r="D85" s="27">
        <v>1</v>
      </c>
      <c r="E85" s="26">
        <v>2000</v>
      </c>
      <c r="F85" s="26">
        <v>10000</v>
      </c>
      <c r="G85" s="26" t="s">
        <v>7</v>
      </c>
      <c r="H85" s="115">
        <v>0.2021</v>
      </c>
      <c r="I85" s="115">
        <v>-2.2000000000000002</v>
      </c>
      <c r="L85" s="94" t="str">
        <f t="shared" si="1"/>
        <v>Infiltrating Bioretention without Underdrain4Vertical21200010000Pre-developed Pasture Standard</v>
      </c>
      <c r="M85" s="94" t="s">
        <v>82</v>
      </c>
    </row>
    <row r="86" spans="1:13" x14ac:dyDescent="0.25">
      <c r="A86" s="94" t="s">
        <v>246</v>
      </c>
      <c r="B86" s="94" t="s">
        <v>56</v>
      </c>
      <c r="C86" s="94">
        <v>2</v>
      </c>
      <c r="D86" s="27">
        <v>2.5</v>
      </c>
      <c r="E86" s="26">
        <v>0</v>
      </c>
      <c r="F86" s="26">
        <v>2000</v>
      </c>
      <c r="G86" s="26" t="s">
        <v>7</v>
      </c>
      <c r="H86" s="115">
        <v>9.0999999999999998E-2</v>
      </c>
      <c r="L86" s="94" t="str">
        <f t="shared" si="1"/>
        <v>Infiltrating Bioretention without Underdrain4Vertical22.502000Pre-developed Pasture Standard</v>
      </c>
      <c r="M86" s="94" t="s">
        <v>82</v>
      </c>
    </row>
    <row r="87" spans="1:13" x14ac:dyDescent="0.25">
      <c r="A87" s="97" t="s">
        <v>246</v>
      </c>
      <c r="B87" s="97" t="s">
        <v>56</v>
      </c>
      <c r="C87" s="97">
        <v>2</v>
      </c>
      <c r="D87" s="33">
        <v>2.5</v>
      </c>
      <c r="E87" s="32">
        <v>2000</v>
      </c>
      <c r="F87" s="32">
        <v>10000</v>
      </c>
      <c r="G87" s="32" t="s">
        <v>7</v>
      </c>
      <c r="H87" s="116">
        <v>9.1999999999999998E-2</v>
      </c>
      <c r="I87" s="116">
        <v>-1.8</v>
      </c>
      <c r="J87" s="97"/>
      <c r="K87" s="97"/>
      <c r="L87" s="97" t="str">
        <f t="shared" si="1"/>
        <v>Infiltrating Bioretention without Underdrain4Vertical22.5200010000Pre-developed Pasture Standard</v>
      </c>
      <c r="M87" s="94" t="s">
        <v>82</v>
      </c>
    </row>
    <row r="88" spans="1:13" x14ac:dyDescent="0.25">
      <c r="A88" s="94" t="s">
        <v>246</v>
      </c>
      <c r="B88" s="94" t="s">
        <v>56</v>
      </c>
      <c r="C88" s="94">
        <v>2</v>
      </c>
      <c r="D88" s="27">
        <v>0.15</v>
      </c>
      <c r="G88" s="26" t="s">
        <v>71</v>
      </c>
      <c r="H88" s="105" t="s">
        <v>70</v>
      </c>
      <c r="J88" s="94" t="s">
        <v>104</v>
      </c>
      <c r="L88" s="94" t="str">
        <f t="shared" si="1"/>
        <v>Infiltrating Bioretention without Underdrain4Vertical20.15Peak Control Standard</v>
      </c>
      <c r="M88" s="94" t="s">
        <v>82</v>
      </c>
    </row>
    <row r="89" spans="1:13" x14ac:dyDescent="0.25">
      <c r="A89" s="94" t="s">
        <v>246</v>
      </c>
      <c r="B89" s="94" t="s">
        <v>56</v>
      </c>
      <c r="C89" s="94">
        <v>2</v>
      </c>
      <c r="D89" s="27">
        <v>0.3</v>
      </c>
      <c r="G89" s="26" t="s">
        <v>71</v>
      </c>
      <c r="H89" s="105" t="s">
        <v>70</v>
      </c>
      <c r="J89" s="94" t="s">
        <v>104</v>
      </c>
      <c r="L89" s="94" t="str">
        <f t="shared" si="1"/>
        <v>Infiltrating Bioretention without Underdrain4Vertical20.3Peak Control Standard</v>
      </c>
      <c r="M89" s="94" t="s">
        <v>82</v>
      </c>
    </row>
    <row r="90" spans="1:13" x14ac:dyDescent="0.25">
      <c r="A90" s="94" t="s">
        <v>246</v>
      </c>
      <c r="B90" s="94" t="s">
        <v>56</v>
      </c>
      <c r="C90" s="94">
        <v>2</v>
      </c>
      <c r="D90" s="27">
        <v>0.6</v>
      </c>
      <c r="G90" s="26" t="s">
        <v>71</v>
      </c>
      <c r="H90" s="105" t="s">
        <v>70</v>
      </c>
      <c r="J90" s="94" t="s">
        <v>104</v>
      </c>
      <c r="L90" s="94" t="str">
        <f t="shared" si="1"/>
        <v>Infiltrating Bioretention without Underdrain4Vertical20.6Peak Control Standard</v>
      </c>
      <c r="M90" s="94" t="s">
        <v>82</v>
      </c>
    </row>
    <row r="91" spans="1:13" x14ac:dyDescent="0.25">
      <c r="A91" s="94" t="s">
        <v>246</v>
      </c>
      <c r="B91" s="94" t="s">
        <v>56</v>
      </c>
      <c r="C91" s="94">
        <v>2</v>
      </c>
      <c r="D91" s="27">
        <v>1</v>
      </c>
      <c r="G91" s="26" t="s">
        <v>71</v>
      </c>
      <c r="H91" s="105" t="s">
        <v>70</v>
      </c>
      <c r="J91" s="94" t="s">
        <v>254</v>
      </c>
      <c r="L91" s="94" t="str">
        <f t="shared" si="1"/>
        <v>Infiltrating Bioretention without Underdrain4Vertical21Peak Control Standard</v>
      </c>
      <c r="M91" s="94" t="s">
        <v>82</v>
      </c>
    </row>
    <row r="92" spans="1:13" x14ac:dyDescent="0.25">
      <c r="A92" s="97" t="s">
        <v>246</v>
      </c>
      <c r="B92" s="97" t="s">
        <v>56</v>
      </c>
      <c r="C92" s="97">
        <v>2</v>
      </c>
      <c r="D92" s="33">
        <v>2.5</v>
      </c>
      <c r="E92" s="99"/>
      <c r="F92" s="99"/>
      <c r="G92" s="32" t="s">
        <v>71</v>
      </c>
      <c r="H92" s="103" t="s">
        <v>70</v>
      </c>
      <c r="I92" s="103"/>
      <c r="J92" s="97" t="s">
        <v>254</v>
      </c>
      <c r="K92" s="97"/>
      <c r="L92" s="97" t="str">
        <f t="shared" si="1"/>
        <v>Infiltrating Bioretention without Underdrain4Vertical22.5Peak Control Standard</v>
      </c>
      <c r="M92" s="94" t="s">
        <v>82</v>
      </c>
    </row>
    <row r="93" spans="1:13" x14ac:dyDescent="0.25">
      <c r="A93" s="27" t="s">
        <v>246</v>
      </c>
      <c r="B93" s="29" t="s">
        <v>56</v>
      </c>
      <c r="C93" s="29">
        <v>2</v>
      </c>
      <c r="D93" s="27">
        <v>0.15</v>
      </c>
      <c r="E93" s="26">
        <v>0</v>
      </c>
      <c r="F93" s="26">
        <v>2000</v>
      </c>
      <c r="G93" s="26" t="s">
        <v>72</v>
      </c>
      <c r="H93" s="105" t="s">
        <v>70</v>
      </c>
      <c r="J93" s="94" t="s">
        <v>104</v>
      </c>
      <c r="L93" s="94" t="str">
        <f t="shared" si="1"/>
        <v>Infiltrating Bioretention without Underdrain4Vertical20.1502000Water Quality Treatment</v>
      </c>
      <c r="M93" s="94" t="s">
        <v>82</v>
      </c>
    </row>
    <row r="94" spans="1:13" x14ac:dyDescent="0.25">
      <c r="A94" s="94" t="s">
        <v>246</v>
      </c>
      <c r="B94" s="94" t="s">
        <v>56</v>
      </c>
      <c r="C94" s="94">
        <v>2</v>
      </c>
      <c r="D94" s="27">
        <v>0.15</v>
      </c>
      <c r="E94" s="26">
        <v>2000</v>
      </c>
      <c r="F94" s="26">
        <v>10000</v>
      </c>
      <c r="G94" s="26" t="s">
        <v>72</v>
      </c>
      <c r="H94" s="105" t="s">
        <v>70</v>
      </c>
      <c r="J94" s="94" t="s">
        <v>104</v>
      </c>
      <c r="L94" s="94" t="str">
        <f t="shared" si="1"/>
        <v>Infiltrating Bioretention without Underdrain4Vertical20.15200010000Water Quality Treatment</v>
      </c>
    </row>
    <row r="95" spans="1:13" x14ac:dyDescent="0.25">
      <c r="A95" s="94" t="s">
        <v>246</v>
      </c>
      <c r="B95" s="94" t="s">
        <v>56</v>
      </c>
      <c r="C95" s="94">
        <v>2</v>
      </c>
      <c r="D95" s="27">
        <v>0.3</v>
      </c>
      <c r="E95" s="26">
        <v>0</v>
      </c>
      <c r="F95" s="26">
        <v>2000</v>
      </c>
      <c r="G95" s="26" t="s">
        <v>72</v>
      </c>
      <c r="H95" s="105" t="s">
        <v>70</v>
      </c>
      <c r="J95" s="94" t="s">
        <v>104</v>
      </c>
      <c r="L95" s="94" t="str">
        <f t="shared" si="1"/>
        <v>Infiltrating Bioretention without Underdrain4Vertical20.302000Water Quality Treatment</v>
      </c>
      <c r="M95" s="94" t="s">
        <v>82</v>
      </c>
    </row>
    <row r="96" spans="1:13" x14ac:dyDescent="0.25">
      <c r="A96" s="94" t="s">
        <v>246</v>
      </c>
      <c r="B96" s="94" t="s">
        <v>56</v>
      </c>
      <c r="C96" s="94">
        <v>2</v>
      </c>
      <c r="D96" s="27">
        <v>0.3</v>
      </c>
      <c r="E96" s="26">
        <v>2000</v>
      </c>
      <c r="F96" s="26">
        <v>10000</v>
      </c>
      <c r="G96" s="26" t="s">
        <v>72</v>
      </c>
      <c r="H96" s="105" t="s">
        <v>70</v>
      </c>
      <c r="J96" s="94" t="s">
        <v>104</v>
      </c>
      <c r="L96" s="94" t="str">
        <f t="shared" si="1"/>
        <v>Infiltrating Bioretention without Underdrain4Vertical20.3200010000Water Quality Treatment</v>
      </c>
    </row>
    <row r="97" spans="1:13" x14ac:dyDescent="0.25">
      <c r="A97" s="94" t="s">
        <v>246</v>
      </c>
      <c r="B97" s="94" t="s">
        <v>56</v>
      </c>
      <c r="C97" s="94">
        <v>2</v>
      </c>
      <c r="D97" s="27">
        <v>0.6</v>
      </c>
      <c r="E97" s="26">
        <v>0</v>
      </c>
      <c r="F97" s="26">
        <v>2000</v>
      </c>
      <c r="G97" s="26" t="s">
        <v>72</v>
      </c>
      <c r="H97" s="105" t="s">
        <v>70</v>
      </c>
      <c r="J97" s="94" t="s">
        <v>104</v>
      </c>
      <c r="L97" s="94" t="str">
        <f t="shared" si="1"/>
        <v>Infiltrating Bioretention without Underdrain4Vertical20.602000Water Quality Treatment</v>
      </c>
      <c r="M97" s="94" t="s">
        <v>82</v>
      </c>
    </row>
    <row r="98" spans="1:13" x14ac:dyDescent="0.25">
      <c r="A98" s="94" t="s">
        <v>246</v>
      </c>
      <c r="B98" s="94" t="s">
        <v>56</v>
      </c>
      <c r="C98" s="94">
        <v>2</v>
      </c>
      <c r="D98" s="27">
        <v>0.6</v>
      </c>
      <c r="E98" s="26">
        <v>2000</v>
      </c>
      <c r="F98" s="26">
        <v>10000</v>
      </c>
      <c r="G98" s="26" t="s">
        <v>72</v>
      </c>
      <c r="H98" s="105" t="s">
        <v>70</v>
      </c>
      <c r="J98" s="94" t="s">
        <v>104</v>
      </c>
      <c r="L98" s="94" t="str">
        <f t="shared" si="1"/>
        <v>Infiltrating Bioretention without Underdrain4Vertical20.6200010000Water Quality Treatment</v>
      </c>
    </row>
    <row r="99" spans="1:13" x14ac:dyDescent="0.25">
      <c r="A99" s="94" t="s">
        <v>246</v>
      </c>
      <c r="B99" s="94" t="s">
        <v>56</v>
      </c>
      <c r="C99" s="94">
        <v>2</v>
      </c>
      <c r="D99" s="27">
        <v>1</v>
      </c>
      <c r="E99" s="26">
        <v>0</v>
      </c>
      <c r="F99" s="26">
        <v>2000</v>
      </c>
      <c r="G99" s="26" t="s">
        <v>72</v>
      </c>
      <c r="H99" s="115">
        <v>6.8000000000000005E-2</v>
      </c>
      <c r="J99" s="94" t="s">
        <v>104</v>
      </c>
      <c r="L99" s="94" t="str">
        <f t="shared" si="1"/>
        <v>Infiltrating Bioretention without Underdrain4Vertical2102000Water Quality Treatment</v>
      </c>
      <c r="M99" s="94" t="s">
        <v>82</v>
      </c>
    </row>
    <row r="100" spans="1:13" x14ac:dyDescent="0.25">
      <c r="A100" s="94" t="s">
        <v>246</v>
      </c>
      <c r="B100" s="94" t="s">
        <v>56</v>
      </c>
      <c r="C100" s="94">
        <v>2</v>
      </c>
      <c r="D100" s="27">
        <v>1</v>
      </c>
      <c r="E100" s="26">
        <v>2000</v>
      </c>
      <c r="F100" s="26">
        <v>10000</v>
      </c>
      <c r="G100" s="26" t="s">
        <v>72</v>
      </c>
      <c r="H100" s="115">
        <v>6.8000000000000005E-2</v>
      </c>
      <c r="L100" s="94" t="str">
        <f t="shared" si="1"/>
        <v>Infiltrating Bioretention without Underdrain4Vertical21200010000Water Quality Treatment</v>
      </c>
    </row>
    <row r="101" spans="1:13" x14ac:dyDescent="0.25">
      <c r="A101" s="94" t="s">
        <v>246</v>
      </c>
      <c r="B101" s="94" t="s">
        <v>56</v>
      </c>
      <c r="C101" s="94">
        <v>2</v>
      </c>
      <c r="D101" s="27">
        <v>2.5</v>
      </c>
      <c r="E101" s="26">
        <v>0</v>
      </c>
      <c r="F101" s="26">
        <v>2000</v>
      </c>
      <c r="G101" s="26" t="s">
        <v>72</v>
      </c>
      <c r="H101" s="115">
        <v>3.1E-2</v>
      </c>
      <c r="L101" s="94" t="str">
        <f t="shared" si="1"/>
        <v>Infiltrating Bioretention without Underdrain4Vertical22.502000Water Quality Treatment</v>
      </c>
    </row>
    <row r="102" spans="1:13" x14ac:dyDescent="0.25">
      <c r="A102" s="97" t="s">
        <v>246</v>
      </c>
      <c r="B102" s="97" t="s">
        <v>56</v>
      </c>
      <c r="C102" s="97">
        <v>2</v>
      </c>
      <c r="D102" s="33">
        <v>2.5</v>
      </c>
      <c r="E102" s="32">
        <v>2000</v>
      </c>
      <c r="F102" s="32">
        <v>10000</v>
      </c>
      <c r="G102" s="32" t="s">
        <v>72</v>
      </c>
      <c r="H102" s="116">
        <v>3.1E-2</v>
      </c>
      <c r="I102" s="103"/>
      <c r="J102" s="97"/>
      <c r="K102" s="97"/>
      <c r="L102" s="97" t="str">
        <f t="shared" si="1"/>
        <v>Infiltrating Bioretention without Underdrain4Vertical22.5200010000Water Quality Treatment</v>
      </c>
      <c r="M102" s="94" t="s">
        <v>82</v>
      </c>
    </row>
    <row r="103" spans="1:13" x14ac:dyDescent="0.25">
      <c r="A103" s="27" t="s">
        <v>246</v>
      </c>
      <c r="B103" s="29" t="s">
        <v>56</v>
      </c>
      <c r="C103" s="29">
        <v>6</v>
      </c>
      <c r="D103" s="27">
        <v>0.15</v>
      </c>
      <c r="E103" s="26">
        <v>0</v>
      </c>
      <c r="F103" s="26">
        <v>2000</v>
      </c>
      <c r="G103" s="26" t="s">
        <v>7</v>
      </c>
      <c r="H103" s="105" t="s">
        <v>70</v>
      </c>
      <c r="J103" s="94" t="s">
        <v>75</v>
      </c>
      <c r="L103" s="94" t="str">
        <f t="shared" si="0"/>
        <v>Infiltrating Bioretention without Underdrain4Vertical60.1502000Pre-developed Pasture Standard</v>
      </c>
      <c r="M103" s="94" t="s">
        <v>82</v>
      </c>
    </row>
    <row r="104" spans="1:13" x14ac:dyDescent="0.25">
      <c r="A104" s="94" t="s">
        <v>246</v>
      </c>
      <c r="B104" s="94" t="s">
        <v>56</v>
      </c>
      <c r="C104" s="94">
        <v>6</v>
      </c>
      <c r="D104" s="27">
        <v>0.15</v>
      </c>
      <c r="E104" s="26">
        <v>2000</v>
      </c>
      <c r="F104" s="26">
        <v>10000</v>
      </c>
      <c r="G104" s="26" t="s">
        <v>7</v>
      </c>
      <c r="H104" s="105" t="s">
        <v>70</v>
      </c>
      <c r="J104" s="94" t="s">
        <v>75</v>
      </c>
      <c r="L104" s="94" t="str">
        <f t="shared" si="0"/>
        <v>Infiltrating Bioretention without Underdrain4Vertical60.15200010000Pre-developed Pasture Standard</v>
      </c>
      <c r="M104" s="94" t="s">
        <v>82</v>
      </c>
    </row>
    <row r="105" spans="1:13" x14ac:dyDescent="0.25">
      <c r="A105" s="94" t="s">
        <v>246</v>
      </c>
      <c r="B105" s="94" t="s">
        <v>56</v>
      </c>
      <c r="C105" s="94">
        <v>6</v>
      </c>
      <c r="D105" s="27">
        <v>0.3</v>
      </c>
      <c r="E105" s="26">
        <v>0</v>
      </c>
      <c r="F105" s="26">
        <v>2000</v>
      </c>
      <c r="G105" s="26" t="s">
        <v>7</v>
      </c>
      <c r="H105" s="105">
        <v>0.158</v>
      </c>
      <c r="I105" s="105">
        <v>0</v>
      </c>
      <c r="L105" s="94" t="str">
        <f t="shared" si="0"/>
        <v>Infiltrating Bioretention without Underdrain4Vertical60.302000Pre-developed Pasture Standard</v>
      </c>
      <c r="M105" s="94" t="s">
        <v>82</v>
      </c>
    </row>
    <row r="106" spans="1:13" x14ac:dyDescent="0.25">
      <c r="A106" s="94" t="s">
        <v>246</v>
      </c>
      <c r="B106" s="94" t="s">
        <v>56</v>
      </c>
      <c r="C106" s="94">
        <v>6</v>
      </c>
      <c r="D106" s="27">
        <v>0.3</v>
      </c>
      <c r="E106" s="26">
        <v>2000</v>
      </c>
      <c r="F106" s="26">
        <v>10000</v>
      </c>
      <c r="G106" s="26" t="s">
        <v>7</v>
      </c>
      <c r="H106" s="105">
        <v>9.5699999999999993E-2</v>
      </c>
      <c r="I106" s="105">
        <v>126</v>
      </c>
      <c r="L106" s="94" t="str">
        <f t="shared" si="0"/>
        <v>Infiltrating Bioretention without Underdrain4Vertical60.3200010000Pre-developed Pasture Standard</v>
      </c>
      <c r="M106" s="94" t="s">
        <v>82</v>
      </c>
    </row>
    <row r="107" spans="1:13" x14ac:dyDescent="0.25">
      <c r="A107" s="94" t="s">
        <v>246</v>
      </c>
      <c r="B107" s="94" t="s">
        <v>56</v>
      </c>
      <c r="C107" s="94">
        <v>6</v>
      </c>
      <c r="D107" s="27">
        <v>0.6</v>
      </c>
      <c r="E107" s="26">
        <v>0</v>
      </c>
      <c r="F107" s="26">
        <v>2000</v>
      </c>
      <c r="G107" s="26" t="s">
        <v>7</v>
      </c>
      <c r="H107" s="105">
        <v>0.107</v>
      </c>
      <c r="I107" s="105">
        <v>0</v>
      </c>
      <c r="L107" s="94" t="str">
        <f t="shared" si="0"/>
        <v>Infiltrating Bioretention without Underdrain4Vertical60.602000Pre-developed Pasture Standard</v>
      </c>
      <c r="M107" s="94" t="s">
        <v>82</v>
      </c>
    </row>
    <row r="108" spans="1:13" x14ac:dyDescent="0.25">
      <c r="A108" s="94" t="s">
        <v>246</v>
      </c>
      <c r="B108" s="94" t="s">
        <v>56</v>
      </c>
      <c r="C108" s="94">
        <v>6</v>
      </c>
      <c r="D108" s="27">
        <v>0.6</v>
      </c>
      <c r="E108" s="26">
        <v>2000</v>
      </c>
      <c r="F108" s="26">
        <v>10000</v>
      </c>
      <c r="G108" s="26" t="s">
        <v>7</v>
      </c>
      <c r="H108" s="105">
        <v>6.7100000000000007E-2</v>
      </c>
      <c r="I108" s="105">
        <v>81.2</v>
      </c>
      <c r="L108" s="94" t="str">
        <f t="shared" ref="L108:L152" si="2">A108&amp;B108&amp;C108&amp;D108&amp;E108&amp;F108&amp;G108</f>
        <v>Infiltrating Bioretention without Underdrain4Vertical60.6200010000Pre-developed Pasture Standard</v>
      </c>
      <c r="M108" s="94" t="s">
        <v>82</v>
      </c>
    </row>
    <row r="109" spans="1:13" x14ac:dyDescent="0.25">
      <c r="A109" s="94" t="s">
        <v>246</v>
      </c>
      <c r="B109" s="94" t="s">
        <v>56</v>
      </c>
      <c r="C109" s="94">
        <v>6</v>
      </c>
      <c r="D109" s="27">
        <v>1</v>
      </c>
      <c r="E109" s="26">
        <v>0</v>
      </c>
      <c r="F109" s="26">
        <v>2000</v>
      </c>
      <c r="G109" s="26" t="s">
        <v>7</v>
      </c>
      <c r="H109" s="105">
        <v>9.2999999999999999E-2</v>
      </c>
      <c r="I109" s="105">
        <v>0</v>
      </c>
      <c r="L109" s="94" t="str">
        <f t="shared" si="2"/>
        <v>Infiltrating Bioretention without Underdrain4Vertical6102000Pre-developed Pasture Standard</v>
      </c>
      <c r="M109" s="94" t="s">
        <v>82</v>
      </c>
    </row>
    <row r="110" spans="1:13" x14ac:dyDescent="0.25">
      <c r="A110" s="94" t="s">
        <v>246</v>
      </c>
      <c r="B110" s="94" t="s">
        <v>56</v>
      </c>
      <c r="C110" s="94">
        <v>6</v>
      </c>
      <c r="D110" s="27">
        <v>1</v>
      </c>
      <c r="E110" s="26">
        <v>2000</v>
      </c>
      <c r="F110" s="26">
        <v>10000</v>
      </c>
      <c r="G110" s="26" t="s">
        <v>7</v>
      </c>
      <c r="H110" s="105">
        <v>5.8500000000000003E-2</v>
      </c>
      <c r="I110" s="105">
        <v>70.5</v>
      </c>
      <c r="L110" s="94" t="str">
        <f t="shared" si="2"/>
        <v>Infiltrating Bioretention without Underdrain4Vertical61200010000Pre-developed Pasture Standard</v>
      </c>
      <c r="M110" s="94" t="s">
        <v>82</v>
      </c>
    </row>
    <row r="111" spans="1:13" x14ac:dyDescent="0.25">
      <c r="A111" s="94" t="s">
        <v>246</v>
      </c>
      <c r="B111" s="94" t="s">
        <v>56</v>
      </c>
      <c r="C111" s="94">
        <v>6</v>
      </c>
      <c r="D111" s="27">
        <v>2.5</v>
      </c>
      <c r="E111" s="26">
        <v>0</v>
      </c>
      <c r="F111" s="26">
        <v>2000</v>
      </c>
      <c r="G111" s="26" t="s">
        <v>7</v>
      </c>
      <c r="H111" s="105">
        <v>4.1000000000000002E-2</v>
      </c>
      <c r="I111" s="105">
        <v>0</v>
      </c>
      <c r="L111" s="94" t="str">
        <f t="shared" si="2"/>
        <v>Infiltrating Bioretention without Underdrain4Vertical62.502000Pre-developed Pasture Standard</v>
      </c>
      <c r="M111" s="94" t="s">
        <v>82</v>
      </c>
    </row>
    <row r="112" spans="1:13" x14ac:dyDescent="0.25">
      <c r="A112" s="97" t="s">
        <v>246</v>
      </c>
      <c r="B112" s="97" t="s">
        <v>56</v>
      </c>
      <c r="C112" s="97">
        <v>6</v>
      </c>
      <c r="D112" s="33">
        <v>2.5</v>
      </c>
      <c r="E112" s="32">
        <v>2000</v>
      </c>
      <c r="F112" s="32">
        <v>10000</v>
      </c>
      <c r="G112" s="32" t="s">
        <v>7</v>
      </c>
      <c r="H112" s="116">
        <v>2.8000000000000001E-2</v>
      </c>
      <c r="I112" s="116">
        <v>24.6</v>
      </c>
      <c r="J112" s="97"/>
      <c r="K112" s="97"/>
      <c r="L112" s="97" t="str">
        <f t="shared" si="2"/>
        <v>Infiltrating Bioretention without Underdrain4Vertical62.5200010000Pre-developed Pasture Standard</v>
      </c>
      <c r="M112" s="94" t="s">
        <v>82</v>
      </c>
    </row>
    <row r="113" spans="1:13" x14ac:dyDescent="0.25">
      <c r="A113" s="94" t="s">
        <v>246</v>
      </c>
      <c r="B113" s="94" t="s">
        <v>56</v>
      </c>
      <c r="C113" s="94">
        <v>6</v>
      </c>
      <c r="D113" s="27">
        <v>0.15</v>
      </c>
      <c r="G113" s="26" t="s">
        <v>71</v>
      </c>
      <c r="H113" s="105" t="s">
        <v>70</v>
      </c>
      <c r="J113" s="94" t="s">
        <v>75</v>
      </c>
      <c r="L113" s="94" t="str">
        <f t="shared" si="2"/>
        <v>Infiltrating Bioretention without Underdrain4Vertical60.15Peak Control Standard</v>
      </c>
      <c r="M113" s="94" t="s">
        <v>82</v>
      </c>
    </row>
    <row r="114" spans="1:13" x14ac:dyDescent="0.25">
      <c r="A114" s="94" t="s">
        <v>246</v>
      </c>
      <c r="B114" s="94" t="s">
        <v>56</v>
      </c>
      <c r="C114" s="94">
        <v>6</v>
      </c>
      <c r="D114" s="27">
        <v>0.3</v>
      </c>
      <c r="G114" s="26" t="s">
        <v>71</v>
      </c>
      <c r="H114" s="105">
        <v>0.16800000000000001</v>
      </c>
      <c r="I114" s="105">
        <v>0</v>
      </c>
      <c r="L114" s="94" t="str">
        <f t="shared" si="2"/>
        <v>Infiltrating Bioretention without Underdrain4Vertical60.3Peak Control Standard</v>
      </c>
      <c r="M114" s="94" t="s">
        <v>82</v>
      </c>
    </row>
    <row r="115" spans="1:13" x14ac:dyDescent="0.25">
      <c r="A115" s="94" t="s">
        <v>246</v>
      </c>
      <c r="B115" s="94" t="s">
        <v>56</v>
      </c>
      <c r="C115" s="94">
        <v>6</v>
      </c>
      <c r="D115" s="27">
        <v>0.6</v>
      </c>
      <c r="G115" s="26" t="s">
        <v>71</v>
      </c>
      <c r="H115" s="105">
        <v>0.13300000000000001</v>
      </c>
      <c r="I115" s="105">
        <v>0</v>
      </c>
      <c r="L115" s="94" t="str">
        <f t="shared" si="2"/>
        <v>Infiltrating Bioretention without Underdrain4Vertical60.6Peak Control Standard</v>
      </c>
      <c r="M115" s="94" t="s">
        <v>82</v>
      </c>
    </row>
    <row r="116" spans="1:13" x14ac:dyDescent="0.25">
      <c r="A116" s="94" t="s">
        <v>246</v>
      </c>
      <c r="B116" s="94" t="s">
        <v>56</v>
      </c>
      <c r="C116" s="94">
        <v>6</v>
      </c>
      <c r="D116" s="27">
        <v>1</v>
      </c>
      <c r="G116" s="26" t="s">
        <v>71</v>
      </c>
      <c r="H116" s="105">
        <v>0.11899999999999999</v>
      </c>
      <c r="I116" s="105">
        <v>0</v>
      </c>
      <c r="L116" s="94" t="str">
        <f t="shared" si="2"/>
        <v>Infiltrating Bioretention without Underdrain4Vertical61Peak Control Standard</v>
      </c>
      <c r="M116" s="94" t="s">
        <v>82</v>
      </c>
    </row>
    <row r="117" spans="1:13" x14ac:dyDescent="0.25">
      <c r="A117" s="97" t="s">
        <v>246</v>
      </c>
      <c r="B117" s="97" t="s">
        <v>56</v>
      </c>
      <c r="C117" s="97">
        <v>6</v>
      </c>
      <c r="D117" s="33">
        <v>2.5</v>
      </c>
      <c r="E117" s="99"/>
      <c r="F117" s="99"/>
      <c r="G117" s="32" t="s">
        <v>71</v>
      </c>
      <c r="H117" s="103">
        <v>6.6000000000000003E-2</v>
      </c>
      <c r="I117" s="103">
        <v>0</v>
      </c>
      <c r="J117" s="97"/>
      <c r="K117" s="97"/>
      <c r="L117" s="97" t="str">
        <f t="shared" si="2"/>
        <v>Infiltrating Bioretention without Underdrain4Vertical62.5Peak Control Standard</v>
      </c>
      <c r="M117" s="94" t="s">
        <v>82</v>
      </c>
    </row>
    <row r="118" spans="1:13" x14ac:dyDescent="0.25">
      <c r="A118" s="27" t="s">
        <v>246</v>
      </c>
      <c r="B118" s="29" t="s">
        <v>56</v>
      </c>
      <c r="C118" s="29">
        <v>6</v>
      </c>
      <c r="D118" s="27">
        <v>0.15</v>
      </c>
      <c r="E118" s="26">
        <v>0</v>
      </c>
      <c r="F118" s="26">
        <v>2000</v>
      </c>
      <c r="G118" s="26" t="s">
        <v>72</v>
      </c>
      <c r="H118" s="105" t="s">
        <v>70</v>
      </c>
      <c r="J118" s="94" t="s">
        <v>75</v>
      </c>
      <c r="L118" s="94" t="str">
        <f t="shared" si="2"/>
        <v>Infiltrating Bioretention without Underdrain4Vertical60.1502000Water Quality Treatment</v>
      </c>
      <c r="M118" s="94" t="s">
        <v>82</v>
      </c>
    </row>
    <row r="119" spans="1:13" x14ac:dyDescent="0.25">
      <c r="A119" s="94" t="s">
        <v>246</v>
      </c>
      <c r="B119" s="94" t="s">
        <v>56</v>
      </c>
      <c r="C119" s="94">
        <v>6</v>
      </c>
      <c r="D119" s="27">
        <v>0.15</v>
      </c>
      <c r="E119" s="26">
        <v>2000</v>
      </c>
      <c r="F119" s="26">
        <v>10000</v>
      </c>
      <c r="G119" s="26" t="s">
        <v>72</v>
      </c>
      <c r="H119" s="105" t="s">
        <v>70</v>
      </c>
      <c r="J119" s="94" t="s">
        <v>75</v>
      </c>
      <c r="L119" s="94" t="str">
        <f t="shared" si="2"/>
        <v>Infiltrating Bioretention without Underdrain4Vertical60.15200010000Water Quality Treatment</v>
      </c>
    </row>
    <row r="120" spans="1:13" x14ac:dyDescent="0.25">
      <c r="A120" s="94" t="s">
        <v>246</v>
      </c>
      <c r="B120" s="94" t="s">
        <v>56</v>
      </c>
      <c r="C120" s="94">
        <v>6</v>
      </c>
      <c r="D120" s="27">
        <v>0.3</v>
      </c>
      <c r="E120" s="26">
        <v>0</v>
      </c>
      <c r="F120" s="26">
        <v>2000</v>
      </c>
      <c r="G120" s="26" t="s">
        <v>72</v>
      </c>
      <c r="H120" s="115">
        <v>6.6000000000000003E-2</v>
      </c>
      <c r="L120" s="94" t="str">
        <f t="shared" si="2"/>
        <v>Infiltrating Bioretention without Underdrain4Vertical60.302000Water Quality Treatment</v>
      </c>
      <c r="M120" s="94" t="s">
        <v>82</v>
      </c>
    </row>
    <row r="121" spans="1:13" x14ac:dyDescent="0.25">
      <c r="A121" s="94" t="s">
        <v>246</v>
      </c>
      <c r="B121" s="94" t="s">
        <v>56</v>
      </c>
      <c r="C121" s="94">
        <v>6</v>
      </c>
      <c r="D121" s="27">
        <v>0.3</v>
      </c>
      <c r="E121" s="26">
        <v>2000</v>
      </c>
      <c r="F121" s="26">
        <v>10000</v>
      </c>
      <c r="G121" s="26" t="s">
        <v>72</v>
      </c>
      <c r="H121" s="115">
        <v>6.6000000000000003E-2</v>
      </c>
      <c r="L121" s="94" t="str">
        <f t="shared" si="2"/>
        <v>Infiltrating Bioretention without Underdrain4Vertical60.3200010000Water Quality Treatment</v>
      </c>
    </row>
    <row r="122" spans="1:13" x14ac:dyDescent="0.25">
      <c r="A122" s="94" t="s">
        <v>246</v>
      </c>
      <c r="B122" s="94" t="s">
        <v>56</v>
      </c>
      <c r="C122" s="94">
        <v>6</v>
      </c>
      <c r="D122" s="27">
        <v>0.6</v>
      </c>
      <c r="E122" s="26">
        <v>0</v>
      </c>
      <c r="F122" s="26">
        <v>2000</v>
      </c>
      <c r="G122" s="26" t="s">
        <v>72</v>
      </c>
      <c r="H122" s="115">
        <v>4.4999999999999998E-2</v>
      </c>
      <c r="L122" s="94" t="str">
        <f t="shared" si="2"/>
        <v>Infiltrating Bioretention without Underdrain4Vertical60.602000Water Quality Treatment</v>
      </c>
      <c r="M122" s="94" t="s">
        <v>82</v>
      </c>
    </row>
    <row r="123" spans="1:13" x14ac:dyDescent="0.25">
      <c r="A123" s="94" t="s">
        <v>246</v>
      </c>
      <c r="B123" s="94" t="s">
        <v>56</v>
      </c>
      <c r="C123" s="94">
        <v>6</v>
      </c>
      <c r="D123" s="27">
        <v>0.6</v>
      </c>
      <c r="E123" s="26">
        <v>2000</v>
      </c>
      <c r="F123" s="26">
        <v>10000</v>
      </c>
      <c r="G123" s="26" t="s">
        <v>72</v>
      </c>
      <c r="H123" s="115">
        <v>4.4999999999999998E-2</v>
      </c>
      <c r="L123" s="94" t="str">
        <f t="shared" si="2"/>
        <v>Infiltrating Bioretention without Underdrain4Vertical60.6200010000Water Quality Treatment</v>
      </c>
    </row>
    <row r="124" spans="1:13" x14ac:dyDescent="0.25">
      <c r="A124" s="94" t="s">
        <v>246</v>
      </c>
      <c r="B124" s="94" t="s">
        <v>56</v>
      </c>
      <c r="C124" s="94">
        <v>6</v>
      </c>
      <c r="D124" s="27">
        <v>1</v>
      </c>
      <c r="E124" s="26">
        <v>0</v>
      </c>
      <c r="F124" s="26">
        <v>2000</v>
      </c>
      <c r="G124" s="26" t="s">
        <v>72</v>
      </c>
      <c r="H124" s="115">
        <v>0.04</v>
      </c>
      <c r="L124" s="94" t="str">
        <f t="shared" si="2"/>
        <v>Infiltrating Bioretention without Underdrain4Vertical6102000Water Quality Treatment</v>
      </c>
      <c r="M124" s="94" t="s">
        <v>82</v>
      </c>
    </row>
    <row r="125" spans="1:13" x14ac:dyDescent="0.25">
      <c r="A125" s="94" t="s">
        <v>246</v>
      </c>
      <c r="B125" s="94" t="s">
        <v>56</v>
      </c>
      <c r="C125" s="94">
        <v>6</v>
      </c>
      <c r="D125" s="27">
        <v>1</v>
      </c>
      <c r="E125" s="26">
        <v>2000</v>
      </c>
      <c r="F125" s="26">
        <v>10000</v>
      </c>
      <c r="G125" s="26" t="s">
        <v>72</v>
      </c>
      <c r="H125" s="115">
        <v>0.04</v>
      </c>
      <c r="L125" s="94" t="str">
        <f t="shared" si="2"/>
        <v>Infiltrating Bioretention without Underdrain4Vertical61200010000Water Quality Treatment</v>
      </c>
    </row>
    <row r="126" spans="1:13" x14ac:dyDescent="0.25">
      <c r="A126" s="94" t="s">
        <v>246</v>
      </c>
      <c r="B126" s="94" t="s">
        <v>56</v>
      </c>
      <c r="C126" s="94">
        <v>6</v>
      </c>
      <c r="D126" s="27">
        <v>2.5</v>
      </c>
      <c r="E126" s="26">
        <v>0</v>
      </c>
      <c r="F126" s="26">
        <v>2000</v>
      </c>
      <c r="G126" s="26" t="s">
        <v>72</v>
      </c>
      <c r="H126" s="115">
        <v>0.02</v>
      </c>
      <c r="L126" s="94" t="str">
        <f t="shared" si="2"/>
        <v>Infiltrating Bioretention without Underdrain4Vertical62.502000Water Quality Treatment</v>
      </c>
    </row>
    <row r="127" spans="1:13" x14ac:dyDescent="0.25">
      <c r="A127" s="97" t="s">
        <v>246</v>
      </c>
      <c r="B127" s="97" t="s">
        <v>56</v>
      </c>
      <c r="C127" s="97">
        <v>6</v>
      </c>
      <c r="D127" s="33">
        <v>2.5</v>
      </c>
      <c r="E127" s="32">
        <v>2000</v>
      </c>
      <c r="F127" s="32">
        <v>10000</v>
      </c>
      <c r="G127" s="32" t="s">
        <v>72</v>
      </c>
      <c r="H127" s="116">
        <v>0.02</v>
      </c>
      <c r="I127" s="103"/>
      <c r="J127" s="97"/>
      <c r="K127" s="97"/>
      <c r="L127" s="97" t="str">
        <f t="shared" si="2"/>
        <v>Infiltrating Bioretention without Underdrain4Vertical62.5200010000Water Quality Treatment</v>
      </c>
      <c r="M127" s="94" t="s">
        <v>82</v>
      </c>
    </row>
    <row r="128" spans="1:13" x14ac:dyDescent="0.25">
      <c r="A128" s="27" t="s">
        <v>246</v>
      </c>
      <c r="B128" s="29" t="s">
        <v>56</v>
      </c>
      <c r="C128" s="29">
        <v>12</v>
      </c>
      <c r="D128" s="27">
        <v>0.15</v>
      </c>
      <c r="E128" s="26">
        <v>0</v>
      </c>
      <c r="F128" s="26">
        <v>2000</v>
      </c>
      <c r="G128" s="26" t="s">
        <v>7</v>
      </c>
      <c r="H128" s="105" t="s">
        <v>70</v>
      </c>
      <c r="J128" s="94" t="s">
        <v>75</v>
      </c>
      <c r="L128" s="94" t="str">
        <f t="shared" si="2"/>
        <v>Infiltrating Bioretention without Underdrain4Vertical120.1502000Pre-developed Pasture Standard</v>
      </c>
      <c r="M128" s="94" t="s">
        <v>82</v>
      </c>
    </row>
    <row r="129" spans="1:13" x14ac:dyDescent="0.25">
      <c r="A129" s="94" t="s">
        <v>246</v>
      </c>
      <c r="B129" s="94" t="s">
        <v>56</v>
      </c>
      <c r="C129" s="94">
        <v>12</v>
      </c>
      <c r="D129" s="27">
        <v>0.15</v>
      </c>
      <c r="E129" s="26">
        <v>2000</v>
      </c>
      <c r="F129" s="26">
        <v>10000</v>
      </c>
      <c r="G129" s="26" t="s">
        <v>7</v>
      </c>
      <c r="H129" s="105" t="s">
        <v>70</v>
      </c>
      <c r="J129" s="94" t="s">
        <v>75</v>
      </c>
      <c r="L129" s="94" t="str">
        <f t="shared" si="2"/>
        <v>Infiltrating Bioretention without Underdrain4Vertical120.15200010000Pre-developed Pasture Standard</v>
      </c>
      <c r="M129" s="94" t="s">
        <v>82</v>
      </c>
    </row>
    <row r="130" spans="1:13" x14ac:dyDescent="0.25">
      <c r="A130" s="94" t="s">
        <v>246</v>
      </c>
      <c r="B130" s="94" t="s">
        <v>56</v>
      </c>
      <c r="C130" s="94">
        <v>12</v>
      </c>
      <c r="D130" s="27">
        <v>0.3</v>
      </c>
      <c r="E130" s="26">
        <v>0</v>
      </c>
      <c r="F130" s="26">
        <v>2000</v>
      </c>
      <c r="G130" s="26" t="s">
        <v>7</v>
      </c>
      <c r="H130" s="105" t="s">
        <v>70</v>
      </c>
      <c r="J130" s="94" t="s">
        <v>75</v>
      </c>
      <c r="L130" s="94" t="str">
        <f t="shared" si="2"/>
        <v>Infiltrating Bioretention without Underdrain4Vertical120.302000Pre-developed Pasture Standard</v>
      </c>
      <c r="M130" s="94" t="s">
        <v>82</v>
      </c>
    </row>
    <row r="131" spans="1:13" x14ac:dyDescent="0.25">
      <c r="A131" s="94" t="s">
        <v>246</v>
      </c>
      <c r="B131" s="94" t="s">
        <v>56</v>
      </c>
      <c r="C131" s="94">
        <v>12</v>
      </c>
      <c r="D131" s="27">
        <v>0.3</v>
      </c>
      <c r="E131" s="26">
        <v>2000</v>
      </c>
      <c r="F131" s="26">
        <v>10000</v>
      </c>
      <c r="G131" s="26" t="s">
        <v>7</v>
      </c>
      <c r="H131" s="105" t="s">
        <v>70</v>
      </c>
      <c r="J131" s="94" t="s">
        <v>75</v>
      </c>
      <c r="L131" s="94" t="str">
        <f t="shared" si="2"/>
        <v>Infiltrating Bioretention without Underdrain4Vertical120.3200010000Pre-developed Pasture Standard</v>
      </c>
      <c r="M131" s="94" t="s">
        <v>82</v>
      </c>
    </row>
    <row r="132" spans="1:13" x14ac:dyDescent="0.25">
      <c r="A132" s="94" t="s">
        <v>246</v>
      </c>
      <c r="B132" s="94" t="s">
        <v>56</v>
      </c>
      <c r="C132" s="94">
        <v>12</v>
      </c>
      <c r="D132" s="27">
        <v>0.6</v>
      </c>
      <c r="E132" s="26">
        <v>0</v>
      </c>
      <c r="F132" s="26">
        <v>2000</v>
      </c>
      <c r="G132" s="26" t="s">
        <v>7</v>
      </c>
      <c r="H132" s="105">
        <v>8.1000000000000003E-2</v>
      </c>
      <c r="I132" s="105">
        <v>0</v>
      </c>
      <c r="L132" s="94" t="str">
        <f t="shared" si="2"/>
        <v>Infiltrating Bioretention without Underdrain4Vertical120.602000Pre-developed Pasture Standard</v>
      </c>
      <c r="M132" s="94" t="s">
        <v>82</v>
      </c>
    </row>
    <row r="133" spans="1:13" x14ac:dyDescent="0.25">
      <c r="A133" s="94" t="s">
        <v>246</v>
      </c>
      <c r="B133" s="94" t="s">
        <v>56</v>
      </c>
      <c r="C133" s="94">
        <v>12</v>
      </c>
      <c r="D133" s="27">
        <v>0.6</v>
      </c>
      <c r="E133" s="26">
        <v>2000</v>
      </c>
      <c r="F133" s="26">
        <v>10000</v>
      </c>
      <c r="G133" s="26" t="s">
        <v>7</v>
      </c>
      <c r="H133" s="105">
        <v>5.1799999999999999E-2</v>
      </c>
      <c r="I133" s="105">
        <v>57.6</v>
      </c>
      <c r="L133" s="94" t="str">
        <f t="shared" si="2"/>
        <v>Infiltrating Bioretention without Underdrain4Vertical120.6200010000Pre-developed Pasture Standard</v>
      </c>
      <c r="M133" s="94" t="s">
        <v>82</v>
      </c>
    </row>
    <row r="134" spans="1:13" x14ac:dyDescent="0.25">
      <c r="A134" s="94" t="s">
        <v>246</v>
      </c>
      <c r="B134" s="94" t="s">
        <v>56</v>
      </c>
      <c r="C134" s="94">
        <v>12</v>
      </c>
      <c r="D134" s="27">
        <v>1</v>
      </c>
      <c r="E134" s="26">
        <v>0</v>
      </c>
      <c r="F134" s="26">
        <v>2000</v>
      </c>
      <c r="G134" s="26" t="s">
        <v>7</v>
      </c>
      <c r="H134" s="105">
        <v>7.0000000000000007E-2</v>
      </c>
      <c r="I134" s="105">
        <v>0</v>
      </c>
      <c r="L134" s="94" t="str">
        <f t="shared" si="2"/>
        <v>Infiltrating Bioretention without Underdrain4Vertical12102000Pre-developed Pasture Standard</v>
      </c>
      <c r="M134" s="94" t="s">
        <v>82</v>
      </c>
    </row>
    <row r="135" spans="1:13" x14ac:dyDescent="0.25">
      <c r="A135" s="94" t="s">
        <v>246</v>
      </c>
      <c r="B135" s="94" t="s">
        <v>56</v>
      </c>
      <c r="C135" s="94">
        <v>12</v>
      </c>
      <c r="D135" s="27">
        <v>1</v>
      </c>
      <c r="E135" s="26">
        <v>2000</v>
      </c>
      <c r="F135" s="26">
        <v>10000</v>
      </c>
      <c r="G135" s="26" t="s">
        <v>7</v>
      </c>
      <c r="H135" s="105">
        <v>4.5400000000000003E-2</v>
      </c>
      <c r="I135" s="105">
        <v>49.4</v>
      </c>
      <c r="L135" s="94" t="str">
        <f t="shared" si="2"/>
        <v>Infiltrating Bioretention without Underdrain4Vertical121200010000Pre-developed Pasture Standard</v>
      </c>
      <c r="M135" s="94" t="s">
        <v>82</v>
      </c>
    </row>
    <row r="136" spans="1:13" x14ac:dyDescent="0.25">
      <c r="A136" s="94" t="s">
        <v>246</v>
      </c>
      <c r="B136" s="94" t="s">
        <v>56</v>
      </c>
      <c r="C136" s="94">
        <v>12</v>
      </c>
      <c r="D136" s="27">
        <v>2.5</v>
      </c>
      <c r="E136" s="26">
        <v>0</v>
      </c>
      <c r="F136" s="26">
        <v>2000</v>
      </c>
      <c r="G136" s="26" t="s">
        <v>7</v>
      </c>
      <c r="H136" s="105">
        <v>0.03</v>
      </c>
      <c r="I136" s="105">
        <v>0</v>
      </c>
      <c r="L136" s="94" t="str">
        <f t="shared" si="2"/>
        <v>Infiltrating Bioretention without Underdrain4Vertical122.502000Pre-developed Pasture Standard</v>
      </c>
      <c r="M136" s="94" t="s">
        <v>82</v>
      </c>
    </row>
    <row r="137" spans="1:13" x14ac:dyDescent="0.25">
      <c r="A137" s="97" t="s">
        <v>246</v>
      </c>
      <c r="B137" s="97" t="s">
        <v>56</v>
      </c>
      <c r="C137" s="97">
        <v>12</v>
      </c>
      <c r="D137" s="33">
        <v>2.5</v>
      </c>
      <c r="E137" s="32">
        <v>2000</v>
      </c>
      <c r="F137" s="32">
        <v>10000</v>
      </c>
      <c r="G137" s="32" t="s">
        <v>7</v>
      </c>
      <c r="H137" s="116">
        <v>2.3699999999999999E-2</v>
      </c>
      <c r="I137" s="116">
        <v>10.9</v>
      </c>
      <c r="J137" s="97"/>
      <c r="K137" s="97"/>
      <c r="L137" s="97" t="str">
        <f t="shared" si="2"/>
        <v>Infiltrating Bioretention without Underdrain4Vertical122.5200010000Pre-developed Pasture Standard</v>
      </c>
      <c r="M137" s="94" t="s">
        <v>82</v>
      </c>
    </row>
    <row r="138" spans="1:13" x14ac:dyDescent="0.25">
      <c r="A138" s="94" t="s">
        <v>246</v>
      </c>
      <c r="B138" s="94" t="s">
        <v>56</v>
      </c>
      <c r="C138" s="94">
        <v>12</v>
      </c>
      <c r="D138" s="27">
        <v>0.15</v>
      </c>
      <c r="G138" s="26" t="s">
        <v>71</v>
      </c>
      <c r="H138" s="105" t="s">
        <v>70</v>
      </c>
      <c r="J138" s="94" t="s">
        <v>75</v>
      </c>
      <c r="L138" s="94" t="str">
        <f t="shared" si="2"/>
        <v>Infiltrating Bioretention without Underdrain4Vertical120.15Peak Control Standard</v>
      </c>
      <c r="M138" s="94" t="s">
        <v>82</v>
      </c>
    </row>
    <row r="139" spans="1:13" x14ac:dyDescent="0.25">
      <c r="A139" s="94" t="s">
        <v>246</v>
      </c>
      <c r="B139" s="94" t="s">
        <v>56</v>
      </c>
      <c r="C139" s="94">
        <v>12</v>
      </c>
      <c r="D139" s="27">
        <v>0.3</v>
      </c>
      <c r="G139" s="26" t="s">
        <v>71</v>
      </c>
      <c r="H139" s="105" t="s">
        <v>70</v>
      </c>
      <c r="J139" s="94" t="s">
        <v>75</v>
      </c>
      <c r="L139" s="94" t="str">
        <f t="shared" si="2"/>
        <v>Infiltrating Bioretention without Underdrain4Vertical120.3Peak Control Standard</v>
      </c>
      <c r="M139" s="94" t="s">
        <v>82</v>
      </c>
    </row>
    <row r="140" spans="1:13" x14ac:dyDescent="0.25">
      <c r="A140" s="94" t="s">
        <v>246</v>
      </c>
      <c r="B140" s="94" t="s">
        <v>56</v>
      </c>
      <c r="C140" s="94">
        <v>12</v>
      </c>
      <c r="D140" s="27">
        <v>0.6</v>
      </c>
      <c r="G140" s="26" t="s">
        <v>71</v>
      </c>
      <c r="H140" s="105">
        <v>9.7000000000000003E-2</v>
      </c>
      <c r="I140" s="105">
        <v>0</v>
      </c>
      <c r="L140" s="94" t="str">
        <f t="shared" si="2"/>
        <v>Infiltrating Bioretention without Underdrain4Vertical120.6Peak Control Standard</v>
      </c>
      <c r="M140" s="94" t="s">
        <v>82</v>
      </c>
    </row>
    <row r="141" spans="1:13" x14ac:dyDescent="0.25">
      <c r="A141" s="94" t="s">
        <v>246</v>
      </c>
      <c r="B141" s="94" t="s">
        <v>56</v>
      </c>
      <c r="C141" s="94">
        <v>12</v>
      </c>
      <c r="D141" s="27">
        <v>1</v>
      </c>
      <c r="G141" s="26" t="s">
        <v>71</v>
      </c>
      <c r="H141" s="105">
        <v>8.5999999999999993E-2</v>
      </c>
      <c r="I141" s="105">
        <v>0</v>
      </c>
      <c r="L141" s="94" t="str">
        <f t="shared" si="2"/>
        <v>Infiltrating Bioretention without Underdrain4Vertical121Peak Control Standard</v>
      </c>
      <c r="M141" s="94" t="s">
        <v>82</v>
      </c>
    </row>
    <row r="142" spans="1:13" x14ac:dyDescent="0.25">
      <c r="A142" s="97" t="s">
        <v>246</v>
      </c>
      <c r="B142" s="97" t="s">
        <v>56</v>
      </c>
      <c r="C142" s="97">
        <v>12</v>
      </c>
      <c r="D142" s="33">
        <v>2.5</v>
      </c>
      <c r="E142" s="99"/>
      <c r="F142" s="99"/>
      <c r="G142" s="32" t="s">
        <v>71</v>
      </c>
      <c r="H142" s="103">
        <v>4.5999999999999999E-2</v>
      </c>
      <c r="I142" s="103">
        <v>0</v>
      </c>
      <c r="J142" s="97"/>
      <c r="K142" s="97"/>
      <c r="L142" s="97" t="str">
        <f t="shared" si="2"/>
        <v>Infiltrating Bioretention without Underdrain4Vertical122.5Peak Control Standard</v>
      </c>
      <c r="M142" s="94" t="s">
        <v>82</v>
      </c>
    </row>
    <row r="143" spans="1:13" x14ac:dyDescent="0.25">
      <c r="A143" s="27" t="s">
        <v>246</v>
      </c>
      <c r="B143" s="29" t="s">
        <v>56</v>
      </c>
      <c r="C143" s="29">
        <v>12</v>
      </c>
      <c r="D143" s="27">
        <v>0.15</v>
      </c>
      <c r="E143" s="26">
        <v>0</v>
      </c>
      <c r="F143" s="26">
        <v>2000</v>
      </c>
      <c r="G143" s="26" t="s">
        <v>72</v>
      </c>
      <c r="H143" s="105" t="s">
        <v>70</v>
      </c>
      <c r="J143" s="94" t="s">
        <v>75</v>
      </c>
      <c r="L143" s="94" t="str">
        <f t="shared" si="2"/>
        <v>Infiltrating Bioretention without Underdrain4Vertical120.1502000Water Quality Treatment</v>
      </c>
      <c r="M143" s="94" t="s">
        <v>82</v>
      </c>
    </row>
    <row r="144" spans="1:13" x14ac:dyDescent="0.25">
      <c r="A144" s="94" t="s">
        <v>246</v>
      </c>
      <c r="B144" s="94" t="s">
        <v>56</v>
      </c>
      <c r="C144" s="94">
        <v>12</v>
      </c>
      <c r="D144" s="27">
        <v>0.15</v>
      </c>
      <c r="E144" s="26">
        <v>2000</v>
      </c>
      <c r="F144" s="26">
        <v>10000</v>
      </c>
      <c r="G144" s="26" t="s">
        <v>72</v>
      </c>
      <c r="H144" s="105" t="s">
        <v>70</v>
      </c>
      <c r="J144" s="94" t="s">
        <v>75</v>
      </c>
      <c r="L144" s="94" t="str">
        <f t="shared" si="2"/>
        <v>Infiltrating Bioretention without Underdrain4Vertical120.15200010000Water Quality Treatment</v>
      </c>
    </row>
    <row r="145" spans="1:13" x14ac:dyDescent="0.25">
      <c r="A145" s="94" t="s">
        <v>246</v>
      </c>
      <c r="B145" s="94" t="s">
        <v>56</v>
      </c>
      <c r="C145" s="94">
        <v>12</v>
      </c>
      <c r="D145" s="27">
        <v>0.3</v>
      </c>
      <c r="E145" s="26">
        <v>0</v>
      </c>
      <c r="F145" s="26">
        <v>2000</v>
      </c>
      <c r="G145" s="26" t="s">
        <v>72</v>
      </c>
      <c r="H145" s="105" t="s">
        <v>70</v>
      </c>
      <c r="J145" s="94" t="s">
        <v>75</v>
      </c>
      <c r="L145" s="94" t="str">
        <f t="shared" si="2"/>
        <v>Infiltrating Bioretention without Underdrain4Vertical120.302000Water Quality Treatment</v>
      </c>
      <c r="M145" s="94" t="s">
        <v>82</v>
      </c>
    </row>
    <row r="146" spans="1:13" x14ac:dyDescent="0.25">
      <c r="A146" s="94" t="s">
        <v>246</v>
      </c>
      <c r="B146" s="94" t="s">
        <v>56</v>
      </c>
      <c r="C146" s="94">
        <v>12</v>
      </c>
      <c r="D146" s="27">
        <v>0.3</v>
      </c>
      <c r="E146" s="26">
        <v>2000</v>
      </c>
      <c r="F146" s="26">
        <v>10000</v>
      </c>
      <c r="G146" s="26" t="s">
        <v>72</v>
      </c>
      <c r="H146" s="105" t="s">
        <v>70</v>
      </c>
      <c r="J146" s="94" t="s">
        <v>75</v>
      </c>
      <c r="L146" s="94" t="str">
        <f t="shared" si="2"/>
        <v>Infiltrating Bioretention without Underdrain4Vertical120.3200010000Water Quality Treatment</v>
      </c>
    </row>
    <row r="147" spans="1:13" x14ac:dyDescent="0.25">
      <c r="A147" s="94" t="s">
        <v>246</v>
      </c>
      <c r="B147" s="94" t="s">
        <v>56</v>
      </c>
      <c r="C147" s="94">
        <v>12</v>
      </c>
      <c r="D147" s="27">
        <v>0.6</v>
      </c>
      <c r="E147" s="26">
        <v>0</v>
      </c>
      <c r="F147" s="26">
        <v>2000</v>
      </c>
      <c r="G147" s="26" t="s">
        <v>72</v>
      </c>
      <c r="H147" s="115">
        <v>3.5999999999999997E-2</v>
      </c>
      <c r="L147" s="94" t="str">
        <f t="shared" si="2"/>
        <v>Infiltrating Bioretention without Underdrain4Vertical120.602000Water Quality Treatment</v>
      </c>
      <c r="M147" s="94" t="s">
        <v>82</v>
      </c>
    </row>
    <row r="148" spans="1:13" x14ac:dyDescent="0.25">
      <c r="A148" s="94" t="s">
        <v>246</v>
      </c>
      <c r="B148" s="94" t="s">
        <v>56</v>
      </c>
      <c r="C148" s="94">
        <v>12</v>
      </c>
      <c r="D148" s="27">
        <v>0.6</v>
      </c>
      <c r="E148" s="26">
        <v>2000</v>
      </c>
      <c r="F148" s="26">
        <v>10000</v>
      </c>
      <c r="G148" s="26" t="s">
        <v>72</v>
      </c>
      <c r="H148" s="115">
        <v>3.5999999999999997E-2</v>
      </c>
      <c r="L148" s="94" t="str">
        <f t="shared" si="2"/>
        <v>Infiltrating Bioretention without Underdrain4Vertical120.6200010000Water Quality Treatment</v>
      </c>
    </row>
    <row r="149" spans="1:13" x14ac:dyDescent="0.25">
      <c r="A149" s="94" t="s">
        <v>246</v>
      </c>
      <c r="B149" s="94" t="s">
        <v>56</v>
      </c>
      <c r="C149" s="94">
        <v>12</v>
      </c>
      <c r="D149" s="27">
        <v>1</v>
      </c>
      <c r="E149" s="26">
        <v>0</v>
      </c>
      <c r="F149" s="26">
        <v>2000</v>
      </c>
      <c r="G149" s="26" t="s">
        <v>72</v>
      </c>
      <c r="H149" s="115">
        <v>3.2000000000000001E-2</v>
      </c>
      <c r="L149" s="94" t="str">
        <f t="shared" si="2"/>
        <v>Infiltrating Bioretention without Underdrain4Vertical12102000Water Quality Treatment</v>
      </c>
      <c r="M149" s="94" t="s">
        <v>82</v>
      </c>
    </row>
    <row r="150" spans="1:13" x14ac:dyDescent="0.25">
      <c r="A150" s="94" t="s">
        <v>246</v>
      </c>
      <c r="B150" s="94" t="s">
        <v>56</v>
      </c>
      <c r="C150" s="94">
        <v>12</v>
      </c>
      <c r="D150" s="27">
        <v>1</v>
      </c>
      <c r="E150" s="26">
        <v>2000</v>
      </c>
      <c r="F150" s="26">
        <v>10000</v>
      </c>
      <c r="G150" s="26" t="s">
        <v>72</v>
      </c>
      <c r="H150" s="115">
        <v>3.2000000000000001E-2</v>
      </c>
      <c r="L150" s="94" t="str">
        <f t="shared" si="2"/>
        <v>Infiltrating Bioretention without Underdrain4Vertical121200010000Water Quality Treatment</v>
      </c>
    </row>
    <row r="151" spans="1:13" x14ac:dyDescent="0.25">
      <c r="A151" s="94" t="s">
        <v>246</v>
      </c>
      <c r="B151" s="94" t="s">
        <v>56</v>
      </c>
      <c r="C151" s="94">
        <v>12</v>
      </c>
      <c r="D151" s="27">
        <v>2.5</v>
      </c>
      <c r="E151" s="26">
        <v>0</v>
      </c>
      <c r="F151" s="26">
        <v>2000</v>
      </c>
      <c r="G151" s="26" t="s">
        <v>72</v>
      </c>
      <c r="H151" s="115">
        <v>1.6E-2</v>
      </c>
      <c r="L151" s="94" t="str">
        <f t="shared" si="2"/>
        <v>Infiltrating Bioretention without Underdrain4Vertical122.502000Water Quality Treatment</v>
      </c>
    </row>
    <row r="152" spans="1:13" x14ac:dyDescent="0.25">
      <c r="A152" s="97" t="s">
        <v>246</v>
      </c>
      <c r="B152" s="97" t="s">
        <v>56</v>
      </c>
      <c r="C152" s="97">
        <v>12</v>
      </c>
      <c r="D152" s="33">
        <v>2.5</v>
      </c>
      <c r="E152" s="32">
        <v>2000</v>
      </c>
      <c r="F152" s="32">
        <v>10000</v>
      </c>
      <c r="G152" s="26" t="s">
        <v>72</v>
      </c>
      <c r="H152" s="115">
        <v>1.6E-2</v>
      </c>
      <c r="L152" s="94" t="str">
        <f t="shared" si="2"/>
        <v>Infiltrating Bioretention without Underdrain4Vertical122.5200010000Water Quality Treatment</v>
      </c>
      <c r="M152" s="94" t="s">
        <v>82</v>
      </c>
    </row>
    <row r="153" spans="1:13" s="95" customFormat="1" x14ac:dyDescent="0.25">
      <c r="D153" s="39"/>
      <c r="E153" s="100"/>
      <c r="F153" s="100"/>
      <c r="G153" s="40"/>
      <c r="H153" s="110"/>
      <c r="I153" s="110"/>
    </row>
    <row r="154" spans="1:13" x14ac:dyDescent="0.25">
      <c r="A154" s="96" t="s">
        <v>213</v>
      </c>
      <c r="B154" s="97"/>
      <c r="C154" s="97"/>
      <c r="D154" s="97"/>
      <c r="E154" s="99"/>
      <c r="F154" s="99"/>
      <c r="G154" s="97"/>
      <c r="H154" s="103"/>
      <c r="I154" s="103"/>
      <c r="J154" s="97"/>
      <c r="K154" s="97"/>
      <c r="L154" s="97"/>
    </row>
    <row r="155" spans="1:13" ht="45" x14ac:dyDescent="0.25">
      <c r="A155" s="34" t="s">
        <v>68</v>
      </c>
      <c r="B155" s="34" t="s">
        <v>55</v>
      </c>
      <c r="C155" s="34" t="s">
        <v>85</v>
      </c>
      <c r="D155" s="34"/>
      <c r="E155" s="44" t="s">
        <v>111</v>
      </c>
      <c r="F155" s="44" t="s">
        <v>112</v>
      </c>
      <c r="G155" s="34" t="s">
        <v>79</v>
      </c>
      <c r="H155" s="34" t="s">
        <v>73</v>
      </c>
      <c r="I155" s="34" t="s">
        <v>74</v>
      </c>
      <c r="J155" s="34" t="s">
        <v>76</v>
      </c>
      <c r="K155" s="34"/>
      <c r="L155" s="34" t="s">
        <v>80</v>
      </c>
    </row>
    <row r="156" spans="1:13" x14ac:dyDescent="0.25">
      <c r="A156" s="27" t="s">
        <v>247</v>
      </c>
      <c r="B156" s="29" t="s">
        <v>57</v>
      </c>
      <c r="C156" s="27">
        <v>2</v>
      </c>
      <c r="D156" s="27"/>
      <c r="E156" s="26">
        <v>0</v>
      </c>
      <c r="F156" s="26">
        <v>2000</v>
      </c>
      <c r="G156" s="26" t="s">
        <v>7</v>
      </c>
      <c r="H156" s="128" t="s">
        <v>70</v>
      </c>
      <c r="J156" s="94" t="s">
        <v>255</v>
      </c>
      <c r="L156" s="94" t="str">
        <f>A156&amp;B156&amp;C156&amp;D156&amp;E156&amp;F156&amp;G156</f>
        <v>Infiltrating Bioretention with Underdrain42.5H:1V202000Pre-developed Pasture Standard</v>
      </c>
    </row>
    <row r="157" spans="1:13" x14ac:dyDescent="0.25">
      <c r="A157" s="27" t="s">
        <v>247</v>
      </c>
      <c r="B157" s="29" t="s">
        <v>57</v>
      </c>
      <c r="C157" s="27">
        <v>2</v>
      </c>
      <c r="D157" s="27"/>
      <c r="E157" s="26">
        <v>2000</v>
      </c>
      <c r="F157" s="26">
        <v>10000</v>
      </c>
      <c r="G157" s="26" t="s">
        <v>7</v>
      </c>
      <c r="H157" s="128" t="s">
        <v>70</v>
      </c>
      <c r="J157" s="94" t="s">
        <v>255</v>
      </c>
      <c r="L157" s="94" t="str">
        <f t="shared" ref="L157:L191" si="3">A157&amp;B157&amp;C157&amp;D157&amp;E157&amp;F157&amp;G157</f>
        <v>Infiltrating Bioretention with Underdrain42.5H:1V2200010000Pre-developed Pasture Standard</v>
      </c>
    </row>
    <row r="158" spans="1:13" x14ac:dyDescent="0.25">
      <c r="A158" s="27" t="s">
        <v>247</v>
      </c>
      <c r="B158" s="29" t="s">
        <v>57</v>
      </c>
      <c r="C158" s="94">
        <v>6</v>
      </c>
      <c r="D158" s="27"/>
      <c r="E158" s="26">
        <v>0</v>
      </c>
      <c r="F158" s="26">
        <v>2000</v>
      </c>
      <c r="G158" s="26" t="s">
        <v>7</v>
      </c>
      <c r="H158" s="128" t="s">
        <v>70</v>
      </c>
      <c r="J158" s="94" t="s">
        <v>255</v>
      </c>
      <c r="L158" s="94" t="str">
        <f t="shared" si="3"/>
        <v>Infiltrating Bioretention with Underdrain42.5H:1V602000Pre-developed Pasture Standard</v>
      </c>
    </row>
    <row r="159" spans="1:13" x14ac:dyDescent="0.25">
      <c r="A159" s="27" t="s">
        <v>247</v>
      </c>
      <c r="B159" s="29" t="s">
        <v>57</v>
      </c>
      <c r="C159" s="94">
        <v>6</v>
      </c>
      <c r="D159" s="27"/>
      <c r="E159" s="26">
        <v>2000</v>
      </c>
      <c r="F159" s="26">
        <v>10000</v>
      </c>
      <c r="G159" s="26" t="s">
        <v>7</v>
      </c>
      <c r="H159" s="128" t="s">
        <v>70</v>
      </c>
      <c r="J159" s="94" t="s">
        <v>255</v>
      </c>
      <c r="L159" s="94" t="str">
        <f t="shared" si="3"/>
        <v>Infiltrating Bioretention with Underdrain42.5H:1V6200010000Pre-developed Pasture Standard</v>
      </c>
    </row>
    <row r="160" spans="1:13" x14ac:dyDescent="0.25">
      <c r="A160" s="27" t="s">
        <v>247</v>
      </c>
      <c r="B160" s="29" t="s">
        <v>57</v>
      </c>
      <c r="C160" s="94">
        <v>12</v>
      </c>
      <c r="D160" s="27"/>
      <c r="E160" s="26">
        <v>0</v>
      </c>
      <c r="F160" s="26">
        <v>2700</v>
      </c>
      <c r="G160" s="26" t="s">
        <v>7</v>
      </c>
      <c r="H160" s="128" t="s">
        <v>70</v>
      </c>
      <c r="J160" s="94" t="s">
        <v>255</v>
      </c>
      <c r="L160" s="94" t="str">
        <f t="shared" si="3"/>
        <v>Infiltrating Bioretention with Underdrain42.5H:1V1202700Pre-developed Pasture Standard</v>
      </c>
    </row>
    <row r="161" spans="1:12" x14ac:dyDescent="0.25">
      <c r="A161" s="33" t="s">
        <v>247</v>
      </c>
      <c r="B161" s="30" t="s">
        <v>57</v>
      </c>
      <c r="C161" s="97">
        <v>12</v>
      </c>
      <c r="D161" s="33"/>
      <c r="E161" s="32">
        <v>2700</v>
      </c>
      <c r="F161" s="32">
        <v>10000</v>
      </c>
      <c r="G161" s="32" t="s">
        <v>7</v>
      </c>
      <c r="H161" s="129" t="s">
        <v>70</v>
      </c>
      <c r="I161" s="103"/>
      <c r="J161" s="97" t="s">
        <v>255</v>
      </c>
      <c r="K161" s="97"/>
      <c r="L161" s="97" t="str">
        <f t="shared" si="3"/>
        <v>Infiltrating Bioretention with Underdrain42.5H:1V12270010000Pre-developed Pasture Standard</v>
      </c>
    </row>
    <row r="162" spans="1:12" x14ac:dyDescent="0.25">
      <c r="A162" s="27" t="s">
        <v>247</v>
      </c>
      <c r="B162" s="29" t="s">
        <v>57</v>
      </c>
      <c r="C162" s="27">
        <v>2</v>
      </c>
      <c r="D162" s="27"/>
      <c r="E162" s="26">
        <v>0</v>
      </c>
      <c r="F162" s="26">
        <v>2000</v>
      </c>
      <c r="G162" s="26" t="s">
        <v>71</v>
      </c>
      <c r="H162" s="115" t="s">
        <v>70</v>
      </c>
      <c r="J162" s="94" t="s">
        <v>255</v>
      </c>
      <c r="L162" s="94" t="str">
        <f t="shared" si="3"/>
        <v>Infiltrating Bioretention with Underdrain42.5H:1V202000Peak Control Standard</v>
      </c>
    </row>
    <row r="163" spans="1:12" x14ac:dyDescent="0.25">
      <c r="A163" s="27" t="s">
        <v>247</v>
      </c>
      <c r="B163" s="29" t="s">
        <v>57</v>
      </c>
      <c r="C163" s="27">
        <v>2</v>
      </c>
      <c r="D163" s="27"/>
      <c r="E163" s="26">
        <v>2000</v>
      </c>
      <c r="F163" s="26">
        <v>10000</v>
      </c>
      <c r="G163" s="26" t="s">
        <v>71</v>
      </c>
      <c r="H163" s="115" t="s">
        <v>70</v>
      </c>
      <c r="J163" s="94" t="s">
        <v>255</v>
      </c>
      <c r="L163" s="94" t="str">
        <f t="shared" si="3"/>
        <v>Infiltrating Bioretention with Underdrain42.5H:1V2200010000Peak Control Standard</v>
      </c>
    </row>
    <row r="164" spans="1:12" x14ac:dyDescent="0.25">
      <c r="A164" s="27" t="s">
        <v>247</v>
      </c>
      <c r="B164" s="29" t="s">
        <v>57</v>
      </c>
      <c r="C164" s="94">
        <v>6</v>
      </c>
      <c r="D164" s="27"/>
      <c r="E164" s="26">
        <v>0</v>
      </c>
      <c r="F164" s="26">
        <v>2000</v>
      </c>
      <c r="G164" s="26" t="s">
        <v>71</v>
      </c>
      <c r="H164" s="115" t="s">
        <v>70</v>
      </c>
      <c r="J164" s="94" t="s">
        <v>255</v>
      </c>
      <c r="L164" s="94" t="str">
        <f t="shared" si="3"/>
        <v>Infiltrating Bioretention with Underdrain42.5H:1V602000Peak Control Standard</v>
      </c>
    </row>
    <row r="165" spans="1:12" x14ac:dyDescent="0.25">
      <c r="A165" s="27" t="s">
        <v>247</v>
      </c>
      <c r="B165" s="29" t="s">
        <v>57</v>
      </c>
      <c r="C165" s="94">
        <v>6</v>
      </c>
      <c r="D165" s="27"/>
      <c r="E165" s="26">
        <v>2000</v>
      </c>
      <c r="F165" s="26">
        <v>10000</v>
      </c>
      <c r="G165" s="26" t="s">
        <v>71</v>
      </c>
      <c r="H165" s="115" t="s">
        <v>70</v>
      </c>
      <c r="J165" s="94" t="s">
        <v>255</v>
      </c>
      <c r="L165" s="94" t="str">
        <f t="shared" si="3"/>
        <v>Infiltrating Bioretention with Underdrain42.5H:1V6200010000Peak Control Standard</v>
      </c>
    </row>
    <row r="166" spans="1:12" x14ac:dyDescent="0.25">
      <c r="A166" s="27" t="s">
        <v>247</v>
      </c>
      <c r="B166" s="29" t="s">
        <v>57</v>
      </c>
      <c r="C166" s="94">
        <v>12</v>
      </c>
      <c r="D166" s="27"/>
      <c r="E166" s="26">
        <v>0</v>
      </c>
      <c r="F166" s="26">
        <v>2700</v>
      </c>
      <c r="G166" s="26" t="s">
        <v>71</v>
      </c>
      <c r="H166" s="115">
        <v>0.03</v>
      </c>
      <c r="L166" s="94" t="str">
        <f t="shared" si="3"/>
        <v>Infiltrating Bioretention with Underdrain42.5H:1V1202700Peak Control Standard</v>
      </c>
    </row>
    <row r="167" spans="1:12" x14ac:dyDescent="0.25">
      <c r="A167" s="33" t="s">
        <v>247</v>
      </c>
      <c r="B167" s="30" t="s">
        <v>57</v>
      </c>
      <c r="C167" s="97">
        <v>12</v>
      </c>
      <c r="D167" s="33"/>
      <c r="E167" s="32">
        <v>2700</v>
      </c>
      <c r="F167" s="32">
        <v>10000</v>
      </c>
      <c r="G167" s="32" t="s">
        <v>71</v>
      </c>
      <c r="H167" s="116" t="s">
        <v>70</v>
      </c>
      <c r="I167" s="103"/>
      <c r="J167" s="97" t="s">
        <v>255</v>
      </c>
      <c r="K167" s="97"/>
      <c r="L167" s="97" t="str">
        <f t="shared" si="3"/>
        <v>Infiltrating Bioretention with Underdrain42.5H:1V12270010000Peak Control Standard</v>
      </c>
    </row>
    <row r="168" spans="1:12" x14ac:dyDescent="0.25">
      <c r="A168" s="27" t="s">
        <v>247</v>
      </c>
      <c r="B168" s="29" t="s">
        <v>57</v>
      </c>
      <c r="C168" s="27">
        <v>2</v>
      </c>
      <c r="D168" s="27"/>
      <c r="E168" s="26">
        <v>0</v>
      </c>
      <c r="F168" s="26">
        <v>2000</v>
      </c>
      <c r="G168" s="26" t="s">
        <v>72</v>
      </c>
      <c r="H168" s="115">
        <v>1.2999999999999999E-2</v>
      </c>
      <c r="L168" s="94" t="str">
        <f t="shared" si="3"/>
        <v>Infiltrating Bioretention with Underdrain42.5H:1V202000Water Quality Treatment</v>
      </c>
    </row>
    <row r="169" spans="1:12" x14ac:dyDescent="0.25">
      <c r="A169" s="27" t="s">
        <v>247</v>
      </c>
      <c r="B169" s="29" t="s">
        <v>57</v>
      </c>
      <c r="C169" s="27">
        <v>2</v>
      </c>
      <c r="D169" s="27"/>
      <c r="E169" s="26">
        <v>2000</v>
      </c>
      <c r="F169" s="26">
        <v>10000</v>
      </c>
      <c r="G169" s="26" t="s">
        <v>72</v>
      </c>
      <c r="H169" s="115">
        <v>1.2999999999999999E-2</v>
      </c>
      <c r="L169" s="94" t="str">
        <f t="shared" si="3"/>
        <v>Infiltrating Bioretention with Underdrain42.5H:1V2200010000Water Quality Treatment</v>
      </c>
    </row>
    <row r="170" spans="1:12" x14ac:dyDescent="0.25">
      <c r="A170" s="27" t="s">
        <v>247</v>
      </c>
      <c r="B170" s="29" t="s">
        <v>57</v>
      </c>
      <c r="C170" s="94">
        <v>6</v>
      </c>
      <c r="D170" s="27"/>
      <c r="E170" s="26">
        <v>0</v>
      </c>
      <c r="F170" s="26">
        <v>2000</v>
      </c>
      <c r="G170" s="26" t="s">
        <v>72</v>
      </c>
      <c r="H170" s="115">
        <v>5.8999999999999999E-3</v>
      </c>
      <c r="I170" s="115">
        <v>-3.2149999999999999</v>
      </c>
      <c r="L170" s="94" t="str">
        <f t="shared" si="3"/>
        <v>Infiltrating Bioretention with Underdrain42.5H:1V602000Water Quality Treatment</v>
      </c>
    </row>
    <row r="171" spans="1:12" x14ac:dyDescent="0.25">
      <c r="A171" s="27" t="s">
        <v>247</v>
      </c>
      <c r="B171" s="29" t="s">
        <v>57</v>
      </c>
      <c r="C171" s="94">
        <v>6</v>
      </c>
      <c r="D171" s="27"/>
      <c r="E171" s="26">
        <v>2000</v>
      </c>
      <c r="F171" s="26">
        <v>10000</v>
      </c>
      <c r="G171" s="26" t="s">
        <v>72</v>
      </c>
      <c r="H171" s="115">
        <v>9.7000000000000003E-3</v>
      </c>
      <c r="I171" s="115">
        <v>-11.297000000000001</v>
      </c>
      <c r="L171" s="94" t="str">
        <f t="shared" si="3"/>
        <v>Infiltrating Bioretention with Underdrain42.5H:1V6200010000Water Quality Treatment</v>
      </c>
    </row>
    <row r="172" spans="1:12" x14ac:dyDescent="0.25">
      <c r="A172" s="27" t="s">
        <v>247</v>
      </c>
      <c r="B172" s="29" t="s">
        <v>57</v>
      </c>
      <c r="C172" s="94">
        <v>12</v>
      </c>
      <c r="D172" s="27"/>
      <c r="E172" s="26">
        <v>0</v>
      </c>
      <c r="F172" s="26">
        <v>2700</v>
      </c>
      <c r="G172" s="26" t="s">
        <v>72</v>
      </c>
      <c r="H172" s="115">
        <v>4.0000000000000001E-3</v>
      </c>
      <c r="L172" s="94" t="str">
        <f t="shared" si="3"/>
        <v>Infiltrating Bioretention with Underdrain42.5H:1V1202700Water Quality Treatment</v>
      </c>
    </row>
    <row r="173" spans="1:12" x14ac:dyDescent="0.25">
      <c r="A173" s="33" t="s">
        <v>247</v>
      </c>
      <c r="B173" s="30" t="s">
        <v>57</v>
      </c>
      <c r="C173" s="97">
        <v>12</v>
      </c>
      <c r="D173" s="33"/>
      <c r="E173" s="32">
        <v>2700</v>
      </c>
      <c r="F173" s="32">
        <v>10000</v>
      </c>
      <c r="G173" s="32" t="s">
        <v>72</v>
      </c>
      <c r="H173" s="116">
        <v>5.1999999999999998E-3</v>
      </c>
      <c r="I173" s="116">
        <v>-12.092000000000001</v>
      </c>
      <c r="J173" s="97"/>
      <c r="K173" s="97"/>
      <c r="L173" s="97" t="str">
        <f t="shared" si="3"/>
        <v>Infiltrating Bioretention with Underdrain42.5H:1V12270010000Water Quality Treatment</v>
      </c>
    </row>
    <row r="174" spans="1:12" x14ac:dyDescent="0.25">
      <c r="A174" s="27" t="s">
        <v>247</v>
      </c>
      <c r="B174" s="94" t="s">
        <v>56</v>
      </c>
      <c r="C174" s="27">
        <v>2</v>
      </c>
      <c r="D174" s="27"/>
      <c r="E174" s="26">
        <v>0</v>
      </c>
      <c r="F174" s="26">
        <v>2000</v>
      </c>
      <c r="G174" s="26" t="s">
        <v>7</v>
      </c>
      <c r="H174" s="128" t="s">
        <v>70</v>
      </c>
      <c r="J174" s="94" t="s">
        <v>255</v>
      </c>
      <c r="L174" s="94" t="str">
        <f t="shared" si="3"/>
        <v>Infiltrating Bioretention with Underdrain4Vertical202000Pre-developed Pasture Standard</v>
      </c>
    </row>
    <row r="175" spans="1:12" x14ac:dyDescent="0.25">
      <c r="A175" s="27" t="s">
        <v>247</v>
      </c>
      <c r="B175" s="94" t="s">
        <v>56</v>
      </c>
      <c r="C175" s="27">
        <v>2</v>
      </c>
      <c r="D175" s="27"/>
      <c r="E175" s="26">
        <v>2000</v>
      </c>
      <c r="F175" s="26">
        <v>10000</v>
      </c>
      <c r="G175" s="26" t="s">
        <v>7</v>
      </c>
      <c r="H175" s="128" t="s">
        <v>70</v>
      </c>
      <c r="J175" s="94" t="s">
        <v>255</v>
      </c>
      <c r="L175" s="94" t="str">
        <f t="shared" si="3"/>
        <v>Infiltrating Bioretention with Underdrain4Vertical2200010000Pre-developed Pasture Standard</v>
      </c>
    </row>
    <row r="176" spans="1:12" x14ac:dyDescent="0.25">
      <c r="A176" s="27" t="s">
        <v>247</v>
      </c>
      <c r="B176" s="94" t="s">
        <v>56</v>
      </c>
      <c r="C176" s="94">
        <v>6</v>
      </c>
      <c r="D176" s="27"/>
      <c r="E176" s="26">
        <v>0</v>
      </c>
      <c r="F176" s="26">
        <v>2000</v>
      </c>
      <c r="G176" s="26" t="s">
        <v>7</v>
      </c>
      <c r="H176" s="128" t="s">
        <v>70</v>
      </c>
      <c r="J176" s="94" t="s">
        <v>255</v>
      </c>
      <c r="L176" s="94" t="str">
        <f t="shared" si="3"/>
        <v>Infiltrating Bioretention with Underdrain4Vertical602000Pre-developed Pasture Standard</v>
      </c>
    </row>
    <row r="177" spans="1:12" x14ac:dyDescent="0.25">
      <c r="A177" s="27" t="s">
        <v>247</v>
      </c>
      <c r="B177" s="94" t="s">
        <v>56</v>
      </c>
      <c r="C177" s="94">
        <v>6</v>
      </c>
      <c r="D177" s="27"/>
      <c r="E177" s="26">
        <v>2000</v>
      </c>
      <c r="F177" s="26">
        <v>10000</v>
      </c>
      <c r="G177" s="26" t="s">
        <v>7</v>
      </c>
      <c r="H177" s="128" t="s">
        <v>70</v>
      </c>
      <c r="J177" s="94" t="s">
        <v>255</v>
      </c>
      <c r="L177" s="94" t="str">
        <f t="shared" si="3"/>
        <v>Infiltrating Bioretention with Underdrain4Vertical6200010000Pre-developed Pasture Standard</v>
      </c>
    </row>
    <row r="178" spans="1:12" x14ac:dyDescent="0.25">
      <c r="A178" s="27" t="s">
        <v>247</v>
      </c>
      <c r="B178" s="94" t="s">
        <v>56</v>
      </c>
      <c r="C178" s="94">
        <v>12</v>
      </c>
      <c r="D178" s="27"/>
      <c r="E178" s="26">
        <v>0</v>
      </c>
      <c r="F178" s="26">
        <v>2700</v>
      </c>
      <c r="G178" s="26" t="s">
        <v>7</v>
      </c>
      <c r="H178" s="128" t="s">
        <v>70</v>
      </c>
      <c r="J178" s="94" t="s">
        <v>255</v>
      </c>
      <c r="L178" s="94" t="str">
        <f t="shared" si="3"/>
        <v>Infiltrating Bioretention with Underdrain4Vertical1202700Pre-developed Pasture Standard</v>
      </c>
    </row>
    <row r="179" spans="1:12" x14ac:dyDescent="0.25">
      <c r="A179" s="33" t="s">
        <v>247</v>
      </c>
      <c r="B179" s="97" t="s">
        <v>56</v>
      </c>
      <c r="C179" s="97">
        <v>12</v>
      </c>
      <c r="D179" s="33"/>
      <c r="E179" s="32">
        <v>2700</v>
      </c>
      <c r="F179" s="32">
        <v>10000</v>
      </c>
      <c r="G179" s="32" t="s">
        <v>7</v>
      </c>
      <c r="H179" s="129" t="s">
        <v>70</v>
      </c>
      <c r="I179" s="103"/>
      <c r="J179" s="97" t="s">
        <v>255</v>
      </c>
      <c r="K179" s="97"/>
      <c r="L179" s="97" t="str">
        <f t="shared" si="3"/>
        <v>Infiltrating Bioretention with Underdrain4Vertical12270010000Pre-developed Pasture Standard</v>
      </c>
    </row>
    <row r="180" spans="1:12" x14ac:dyDescent="0.25">
      <c r="A180" s="27" t="s">
        <v>247</v>
      </c>
      <c r="B180" s="94" t="s">
        <v>56</v>
      </c>
      <c r="C180" s="27">
        <v>2</v>
      </c>
      <c r="D180" s="27"/>
      <c r="E180" s="26">
        <v>0</v>
      </c>
      <c r="F180" s="26">
        <v>2000</v>
      </c>
      <c r="G180" s="26" t="s">
        <v>71</v>
      </c>
      <c r="H180" s="128" t="s">
        <v>70</v>
      </c>
      <c r="J180" s="94" t="s">
        <v>255</v>
      </c>
      <c r="L180" s="94" t="str">
        <f t="shared" si="3"/>
        <v>Infiltrating Bioretention with Underdrain4Vertical202000Peak Control Standard</v>
      </c>
    </row>
    <row r="181" spans="1:12" x14ac:dyDescent="0.25">
      <c r="A181" s="27" t="s">
        <v>247</v>
      </c>
      <c r="B181" s="94" t="s">
        <v>56</v>
      </c>
      <c r="C181" s="27">
        <v>2</v>
      </c>
      <c r="D181" s="27"/>
      <c r="E181" s="26">
        <v>2000</v>
      </c>
      <c r="F181" s="26">
        <v>10000</v>
      </c>
      <c r="G181" s="26" t="s">
        <v>71</v>
      </c>
      <c r="H181" s="128" t="s">
        <v>70</v>
      </c>
      <c r="J181" s="94" t="s">
        <v>255</v>
      </c>
      <c r="L181" s="94" t="str">
        <f t="shared" si="3"/>
        <v>Infiltrating Bioretention with Underdrain4Vertical2200010000Peak Control Standard</v>
      </c>
    </row>
    <row r="182" spans="1:12" x14ac:dyDescent="0.25">
      <c r="A182" s="27" t="s">
        <v>247</v>
      </c>
      <c r="B182" s="94" t="s">
        <v>56</v>
      </c>
      <c r="C182" s="94">
        <v>6</v>
      </c>
      <c r="D182" s="27"/>
      <c r="E182" s="26">
        <v>0</v>
      </c>
      <c r="F182" s="26">
        <v>2000</v>
      </c>
      <c r="G182" s="26" t="s">
        <v>71</v>
      </c>
      <c r="H182" s="128" t="s">
        <v>70</v>
      </c>
      <c r="J182" s="94" t="s">
        <v>255</v>
      </c>
      <c r="L182" s="94" t="str">
        <f t="shared" si="3"/>
        <v>Infiltrating Bioretention with Underdrain4Vertical602000Peak Control Standard</v>
      </c>
    </row>
    <row r="183" spans="1:12" x14ac:dyDescent="0.25">
      <c r="A183" s="27" t="s">
        <v>247</v>
      </c>
      <c r="B183" s="94" t="s">
        <v>56</v>
      </c>
      <c r="C183" s="94">
        <v>6</v>
      </c>
      <c r="D183" s="27"/>
      <c r="E183" s="26">
        <v>2000</v>
      </c>
      <c r="F183" s="26">
        <v>10000</v>
      </c>
      <c r="G183" s="26" t="s">
        <v>71</v>
      </c>
      <c r="H183" s="128" t="s">
        <v>70</v>
      </c>
      <c r="J183" s="94" t="s">
        <v>255</v>
      </c>
      <c r="L183" s="94" t="str">
        <f t="shared" si="3"/>
        <v>Infiltrating Bioretention with Underdrain4Vertical6200010000Peak Control Standard</v>
      </c>
    </row>
    <row r="184" spans="1:12" x14ac:dyDescent="0.25">
      <c r="A184" s="27" t="s">
        <v>247</v>
      </c>
      <c r="B184" s="94" t="s">
        <v>56</v>
      </c>
      <c r="C184" s="94">
        <v>12</v>
      </c>
      <c r="D184" s="27"/>
      <c r="E184" s="26">
        <v>0</v>
      </c>
      <c r="F184" s="26">
        <v>2700</v>
      </c>
      <c r="G184" s="26" t="s">
        <v>71</v>
      </c>
      <c r="H184" s="115">
        <v>4.4999999999999998E-2</v>
      </c>
      <c r="L184" s="94" t="str">
        <f t="shared" si="3"/>
        <v>Infiltrating Bioretention with Underdrain4Vertical1202700Peak Control Standard</v>
      </c>
    </row>
    <row r="185" spans="1:12" x14ac:dyDescent="0.25">
      <c r="A185" s="33" t="s">
        <v>247</v>
      </c>
      <c r="B185" s="97" t="s">
        <v>56</v>
      </c>
      <c r="C185" s="97">
        <v>12</v>
      </c>
      <c r="D185" s="33"/>
      <c r="E185" s="32">
        <v>2700</v>
      </c>
      <c r="F185" s="32">
        <v>10000</v>
      </c>
      <c r="G185" s="32" t="s">
        <v>71</v>
      </c>
      <c r="H185" s="116">
        <v>4.4999999999999998E-2</v>
      </c>
      <c r="I185" s="103"/>
      <c r="J185" s="97"/>
      <c r="K185" s="97"/>
      <c r="L185" s="97" t="str">
        <f t="shared" si="3"/>
        <v>Infiltrating Bioretention with Underdrain4Vertical12270010000Peak Control Standard</v>
      </c>
    </row>
    <row r="186" spans="1:12" x14ac:dyDescent="0.25">
      <c r="A186" s="27" t="s">
        <v>247</v>
      </c>
      <c r="B186" s="94" t="s">
        <v>56</v>
      </c>
      <c r="C186" s="27">
        <v>2</v>
      </c>
      <c r="D186" s="27"/>
      <c r="E186" s="26">
        <v>0</v>
      </c>
      <c r="F186" s="26">
        <v>2000</v>
      </c>
      <c r="G186" s="26" t="s">
        <v>72</v>
      </c>
      <c r="H186" s="115" t="s">
        <v>70</v>
      </c>
      <c r="J186" s="94" t="s">
        <v>255</v>
      </c>
      <c r="L186" s="94" t="str">
        <f t="shared" si="3"/>
        <v>Infiltrating Bioretention with Underdrain4Vertical202000Water Quality Treatment</v>
      </c>
    </row>
    <row r="187" spans="1:12" x14ac:dyDescent="0.25">
      <c r="A187" s="27" t="s">
        <v>247</v>
      </c>
      <c r="B187" s="94" t="s">
        <v>56</v>
      </c>
      <c r="C187" s="27">
        <v>2</v>
      </c>
      <c r="D187" s="27"/>
      <c r="E187" s="26">
        <v>2000</v>
      </c>
      <c r="F187" s="26">
        <v>10000</v>
      </c>
      <c r="G187" s="26" t="s">
        <v>72</v>
      </c>
      <c r="H187" s="115" t="s">
        <v>70</v>
      </c>
      <c r="J187" s="94" t="s">
        <v>255</v>
      </c>
      <c r="L187" s="94" t="str">
        <f t="shared" si="3"/>
        <v>Infiltrating Bioretention with Underdrain4Vertical2200010000Water Quality Treatment</v>
      </c>
    </row>
    <row r="188" spans="1:12" x14ac:dyDescent="0.25">
      <c r="A188" s="27" t="s">
        <v>247</v>
      </c>
      <c r="B188" s="94" t="s">
        <v>56</v>
      </c>
      <c r="C188" s="94">
        <v>6</v>
      </c>
      <c r="D188" s="27"/>
      <c r="E188" s="26">
        <v>0</v>
      </c>
      <c r="F188" s="26">
        <v>2000</v>
      </c>
      <c r="G188" s="26" t="s">
        <v>72</v>
      </c>
      <c r="H188" s="115">
        <v>1.2E-2</v>
      </c>
      <c r="L188" s="94" t="str">
        <f t="shared" si="3"/>
        <v>Infiltrating Bioretention with Underdrain4Vertical602000Water Quality Treatment</v>
      </c>
    </row>
    <row r="189" spans="1:12" x14ac:dyDescent="0.25">
      <c r="A189" s="27" t="s">
        <v>247</v>
      </c>
      <c r="B189" s="94" t="s">
        <v>56</v>
      </c>
      <c r="C189" s="94">
        <v>6</v>
      </c>
      <c r="D189" s="27"/>
      <c r="E189" s="26">
        <v>2000</v>
      </c>
      <c r="F189" s="26">
        <v>10000</v>
      </c>
      <c r="G189" s="26" t="s">
        <v>72</v>
      </c>
      <c r="H189" s="115">
        <v>1.2E-2</v>
      </c>
      <c r="L189" s="94" t="str">
        <f t="shared" si="3"/>
        <v>Infiltrating Bioretention with Underdrain4Vertical6200010000Water Quality Treatment</v>
      </c>
    </row>
    <row r="190" spans="1:12" x14ac:dyDescent="0.25">
      <c r="A190" s="27" t="s">
        <v>247</v>
      </c>
      <c r="B190" s="94" t="s">
        <v>56</v>
      </c>
      <c r="C190" s="94">
        <v>12</v>
      </c>
      <c r="D190" s="27"/>
      <c r="E190" s="26">
        <v>0</v>
      </c>
      <c r="F190" s="26">
        <v>2700</v>
      </c>
      <c r="G190" s="26" t="s">
        <v>72</v>
      </c>
      <c r="H190" s="115">
        <v>0.01</v>
      </c>
      <c r="L190" s="94" t="str">
        <f t="shared" si="3"/>
        <v>Infiltrating Bioretention with Underdrain4Vertical1202700Water Quality Treatment</v>
      </c>
    </row>
    <row r="191" spans="1:12" x14ac:dyDescent="0.25">
      <c r="A191" s="33" t="s">
        <v>247</v>
      </c>
      <c r="B191" s="97" t="s">
        <v>56</v>
      </c>
      <c r="C191" s="97">
        <v>12</v>
      </c>
      <c r="D191" s="33"/>
      <c r="E191" s="32">
        <v>2700</v>
      </c>
      <c r="F191" s="32">
        <v>10000</v>
      </c>
      <c r="G191" s="32" t="s">
        <v>72</v>
      </c>
      <c r="H191" s="116">
        <v>0.01</v>
      </c>
      <c r="I191" s="103"/>
      <c r="J191" s="97"/>
      <c r="K191" s="97"/>
      <c r="L191" s="97" t="str">
        <f t="shared" si="3"/>
        <v>Infiltrating Bioretention with Underdrain4Vertical12270010000Water Quality Treatment</v>
      </c>
    </row>
    <row r="192" spans="1:12" x14ac:dyDescent="0.25">
      <c r="D192" s="27"/>
      <c r="G192" s="26"/>
    </row>
    <row r="193" spans="1:12" x14ac:dyDescent="0.25">
      <c r="A193" s="96" t="s">
        <v>154</v>
      </c>
      <c r="B193" s="97"/>
      <c r="C193" s="97"/>
      <c r="D193" s="97"/>
      <c r="E193" s="99"/>
      <c r="F193" s="99"/>
      <c r="G193" s="97"/>
      <c r="H193" s="103"/>
      <c r="I193" s="103"/>
      <c r="J193" s="97"/>
      <c r="K193" s="97"/>
      <c r="L193" s="97"/>
    </row>
    <row r="194" spans="1:12" ht="45" x14ac:dyDescent="0.25">
      <c r="A194" s="34" t="s">
        <v>68</v>
      </c>
      <c r="B194" s="34"/>
      <c r="C194" s="34" t="s">
        <v>85</v>
      </c>
      <c r="D194" s="34" t="s">
        <v>69</v>
      </c>
      <c r="E194" s="44" t="s">
        <v>111</v>
      </c>
      <c r="F194" s="44" t="s">
        <v>112</v>
      </c>
      <c r="G194" s="34" t="s">
        <v>79</v>
      </c>
      <c r="H194" s="34" t="s">
        <v>73</v>
      </c>
      <c r="I194" s="34" t="s">
        <v>74</v>
      </c>
      <c r="J194" s="34" t="s">
        <v>76</v>
      </c>
      <c r="K194" s="34"/>
      <c r="L194" s="34" t="s">
        <v>80</v>
      </c>
    </row>
    <row r="195" spans="1:12" x14ac:dyDescent="0.25">
      <c r="A195" s="94" t="s">
        <v>248</v>
      </c>
      <c r="C195" s="94">
        <v>2</v>
      </c>
      <c r="D195" s="27">
        <v>0.15</v>
      </c>
      <c r="E195" s="98">
        <v>0</v>
      </c>
      <c r="F195" s="98">
        <v>2000</v>
      </c>
      <c r="G195" s="26" t="s">
        <v>7</v>
      </c>
      <c r="H195" s="115">
        <v>1.3819999999999999</v>
      </c>
      <c r="L195" s="94" t="str">
        <f t="shared" ref="L195:L253" si="4">A195&amp;B195&amp;C195&amp;D195&amp;E195&amp;F195&amp;G195</f>
        <v>Infiltrating Soil Cell Bioretention without Underdrain420.1502000Pre-developed Pasture Standard</v>
      </c>
    </row>
    <row r="196" spans="1:12" x14ac:dyDescent="0.25">
      <c r="A196" s="94" t="s">
        <v>248</v>
      </c>
      <c r="C196" s="94">
        <v>2</v>
      </c>
      <c r="D196" s="27">
        <v>0.15</v>
      </c>
      <c r="E196" s="98">
        <v>2000</v>
      </c>
      <c r="F196" s="98">
        <v>10000</v>
      </c>
      <c r="G196" s="26" t="s">
        <v>7</v>
      </c>
      <c r="H196" s="115">
        <v>1.3897999999999999</v>
      </c>
      <c r="I196" s="115">
        <v>34.299999999999997</v>
      </c>
      <c r="L196" s="94" t="str">
        <f t="shared" si="4"/>
        <v>Infiltrating Soil Cell Bioretention without Underdrain420.15200010000Pre-developed Pasture Standard</v>
      </c>
    </row>
    <row r="197" spans="1:12" x14ac:dyDescent="0.25">
      <c r="A197" s="94" t="s">
        <v>248</v>
      </c>
      <c r="C197" s="94">
        <v>2</v>
      </c>
      <c r="D197" s="27">
        <v>0.3</v>
      </c>
      <c r="E197" s="98">
        <v>0</v>
      </c>
      <c r="F197" s="98">
        <v>2000</v>
      </c>
      <c r="G197" s="26" t="s">
        <v>7</v>
      </c>
      <c r="H197" s="115">
        <v>1.0349999999999999</v>
      </c>
      <c r="L197" s="94" t="str">
        <f t="shared" si="4"/>
        <v>Infiltrating Soil Cell Bioretention without Underdrain420.302000Pre-developed Pasture Standard</v>
      </c>
    </row>
    <row r="198" spans="1:12" x14ac:dyDescent="0.25">
      <c r="A198" s="94" t="s">
        <v>248</v>
      </c>
      <c r="C198" s="94">
        <v>2</v>
      </c>
      <c r="D198" s="27">
        <v>0.3</v>
      </c>
      <c r="E198" s="98">
        <v>2000</v>
      </c>
      <c r="F198" s="98">
        <v>10000</v>
      </c>
      <c r="G198" s="26" t="s">
        <v>7</v>
      </c>
      <c r="H198" s="115">
        <v>1.0474000000000001</v>
      </c>
      <c r="I198" s="115">
        <v>21.8</v>
      </c>
      <c r="L198" s="94" t="str">
        <f t="shared" si="4"/>
        <v>Infiltrating Soil Cell Bioretention without Underdrain420.3200010000Pre-developed Pasture Standard</v>
      </c>
    </row>
    <row r="199" spans="1:12" x14ac:dyDescent="0.25">
      <c r="A199" s="94" t="s">
        <v>248</v>
      </c>
      <c r="C199" s="94">
        <v>2</v>
      </c>
      <c r="D199" s="27">
        <v>0.6</v>
      </c>
      <c r="E199" s="98">
        <v>0</v>
      </c>
      <c r="F199" s="98">
        <v>2000</v>
      </c>
      <c r="G199" s="26" t="s">
        <v>7</v>
      </c>
      <c r="H199" s="115">
        <v>0.34</v>
      </c>
      <c r="L199" s="94" t="str">
        <f t="shared" si="4"/>
        <v>Infiltrating Soil Cell Bioretention without Underdrain420.602000Pre-developed Pasture Standard</v>
      </c>
    </row>
    <row r="200" spans="1:12" x14ac:dyDescent="0.25">
      <c r="A200" s="94" t="s">
        <v>248</v>
      </c>
      <c r="C200" s="94">
        <v>2</v>
      </c>
      <c r="D200" s="27">
        <v>0.6</v>
      </c>
      <c r="E200" s="98">
        <v>2000</v>
      </c>
      <c r="F200" s="98">
        <v>10000</v>
      </c>
      <c r="G200" s="26" t="s">
        <v>7</v>
      </c>
      <c r="H200" s="115">
        <v>0.34439999999999998</v>
      </c>
      <c r="I200" s="115">
        <v>3</v>
      </c>
      <c r="L200" s="94" t="str">
        <f t="shared" si="4"/>
        <v>Infiltrating Soil Cell Bioretention without Underdrain420.6200010000Pre-developed Pasture Standard</v>
      </c>
    </row>
    <row r="201" spans="1:12" x14ac:dyDescent="0.25">
      <c r="A201" s="94" t="s">
        <v>248</v>
      </c>
      <c r="C201" s="94">
        <v>2</v>
      </c>
      <c r="D201" s="27">
        <v>1</v>
      </c>
      <c r="E201" s="98">
        <v>0</v>
      </c>
      <c r="F201" s="98">
        <v>2000</v>
      </c>
      <c r="G201" s="26" t="s">
        <v>7</v>
      </c>
      <c r="H201" s="115">
        <v>0.24099999999999999</v>
      </c>
      <c r="L201" s="94" t="str">
        <f t="shared" si="4"/>
        <v>Infiltrating Soil Cell Bioretention without Underdrain42102000Pre-developed Pasture Standard</v>
      </c>
    </row>
    <row r="202" spans="1:12" x14ac:dyDescent="0.25">
      <c r="A202" s="94" t="s">
        <v>248</v>
      </c>
      <c r="C202" s="94">
        <v>2</v>
      </c>
      <c r="D202" s="27">
        <v>1</v>
      </c>
      <c r="E202" s="98">
        <v>2000</v>
      </c>
      <c r="F202" s="98">
        <v>10000</v>
      </c>
      <c r="G202" s="26" t="s">
        <v>7</v>
      </c>
      <c r="H202" s="115">
        <v>0.2445</v>
      </c>
      <c r="I202" s="115">
        <v>2.7</v>
      </c>
      <c r="L202" s="94" t="str">
        <f t="shared" si="4"/>
        <v>Infiltrating Soil Cell Bioretention without Underdrain421200010000Pre-developed Pasture Standard</v>
      </c>
    </row>
    <row r="203" spans="1:12" x14ac:dyDescent="0.25">
      <c r="A203" s="94" t="s">
        <v>248</v>
      </c>
      <c r="C203" s="94">
        <v>2</v>
      </c>
      <c r="D203" s="27">
        <v>2.5</v>
      </c>
      <c r="E203" s="98">
        <v>0</v>
      </c>
      <c r="F203" s="98">
        <v>2000</v>
      </c>
      <c r="G203" s="26" t="s">
        <v>7</v>
      </c>
      <c r="H203" s="115">
        <v>0.1103</v>
      </c>
      <c r="L203" s="94" t="str">
        <f t="shared" si="4"/>
        <v>Infiltrating Soil Cell Bioretention without Underdrain422.502000Pre-developed Pasture Standard</v>
      </c>
    </row>
    <row r="204" spans="1:12" x14ac:dyDescent="0.25">
      <c r="A204" s="97" t="s">
        <v>248</v>
      </c>
      <c r="B204" s="97"/>
      <c r="C204" s="97">
        <v>2</v>
      </c>
      <c r="D204" s="33">
        <v>2.5</v>
      </c>
      <c r="E204" s="99">
        <v>2000</v>
      </c>
      <c r="F204" s="99">
        <v>10000</v>
      </c>
      <c r="G204" s="32" t="s">
        <v>7</v>
      </c>
      <c r="H204" s="116">
        <v>0.113</v>
      </c>
      <c r="I204" s="116">
        <v>2.2000000000000002</v>
      </c>
      <c r="J204" s="97"/>
      <c r="K204" s="97"/>
      <c r="L204" s="97" t="str">
        <f t="shared" si="4"/>
        <v>Infiltrating Soil Cell Bioretention without Underdrain422.5200010000Pre-developed Pasture Standard</v>
      </c>
    </row>
    <row r="205" spans="1:12" x14ac:dyDescent="0.25">
      <c r="A205" s="95" t="s">
        <v>248</v>
      </c>
      <c r="B205" s="95"/>
      <c r="C205" s="95">
        <v>2</v>
      </c>
      <c r="D205" s="39">
        <v>0.15</v>
      </c>
      <c r="E205" s="100"/>
      <c r="F205" s="100"/>
      <c r="G205" s="40" t="s">
        <v>71</v>
      </c>
      <c r="H205" s="120" t="s">
        <v>70</v>
      </c>
      <c r="I205" s="110"/>
      <c r="J205" s="119" t="s">
        <v>220</v>
      </c>
      <c r="K205" s="95"/>
      <c r="L205" s="95" t="str">
        <f t="shared" si="4"/>
        <v>Infiltrating Soil Cell Bioretention without Underdrain420.15Peak Control Standard</v>
      </c>
    </row>
    <row r="206" spans="1:12" x14ac:dyDescent="0.25">
      <c r="A206" s="94" t="s">
        <v>248</v>
      </c>
      <c r="C206" s="94">
        <v>2</v>
      </c>
      <c r="D206" s="27">
        <v>0.3</v>
      </c>
      <c r="G206" s="26" t="s">
        <v>71</v>
      </c>
      <c r="H206" s="115" t="s">
        <v>70</v>
      </c>
      <c r="J206" s="117" t="s">
        <v>220</v>
      </c>
      <c r="L206" s="94" t="str">
        <f t="shared" si="4"/>
        <v>Infiltrating Soil Cell Bioretention without Underdrain420.3Peak Control Standard</v>
      </c>
    </row>
    <row r="207" spans="1:12" x14ac:dyDescent="0.25">
      <c r="A207" s="94" t="s">
        <v>248</v>
      </c>
      <c r="C207" s="94">
        <v>2</v>
      </c>
      <c r="D207" s="27">
        <v>0.6</v>
      </c>
      <c r="G207" s="26" t="s">
        <v>71</v>
      </c>
      <c r="H207" s="115" t="s">
        <v>70</v>
      </c>
      <c r="J207" s="117" t="s">
        <v>220</v>
      </c>
      <c r="L207" s="94" t="str">
        <f t="shared" si="4"/>
        <v>Infiltrating Soil Cell Bioretention without Underdrain420.6Peak Control Standard</v>
      </c>
    </row>
    <row r="208" spans="1:12" x14ac:dyDescent="0.25">
      <c r="A208" s="94" t="s">
        <v>248</v>
      </c>
      <c r="C208" s="94">
        <v>2</v>
      </c>
      <c r="D208" s="27">
        <v>1</v>
      </c>
      <c r="G208" s="26" t="s">
        <v>71</v>
      </c>
      <c r="H208" s="115" t="s">
        <v>70</v>
      </c>
      <c r="J208" s="117" t="s">
        <v>220</v>
      </c>
      <c r="L208" s="94" t="str">
        <f t="shared" si="4"/>
        <v>Infiltrating Soil Cell Bioretention without Underdrain421Peak Control Standard</v>
      </c>
    </row>
    <row r="209" spans="1:12" x14ac:dyDescent="0.25">
      <c r="A209" s="97" t="s">
        <v>248</v>
      </c>
      <c r="B209" s="97"/>
      <c r="C209" s="97">
        <v>2</v>
      </c>
      <c r="D209" s="33">
        <v>2.5</v>
      </c>
      <c r="E209" s="99"/>
      <c r="F209" s="99"/>
      <c r="G209" s="32" t="s">
        <v>71</v>
      </c>
      <c r="H209" s="116" t="s">
        <v>70</v>
      </c>
      <c r="I209" s="103"/>
      <c r="J209" s="118" t="s">
        <v>220</v>
      </c>
      <c r="K209" s="97"/>
      <c r="L209" s="97" t="str">
        <f t="shared" si="4"/>
        <v>Infiltrating Soil Cell Bioretention without Underdrain422.5Peak Control Standard</v>
      </c>
    </row>
    <row r="210" spans="1:12" x14ac:dyDescent="0.25">
      <c r="A210" s="94" t="s">
        <v>248</v>
      </c>
      <c r="C210" s="94">
        <v>2</v>
      </c>
      <c r="D210" s="27">
        <v>0.15</v>
      </c>
      <c r="G210" s="26" t="s">
        <v>72</v>
      </c>
      <c r="H210" s="115">
        <v>0.29099999999999998</v>
      </c>
      <c r="L210" s="94" t="str">
        <f t="shared" si="4"/>
        <v>Infiltrating Soil Cell Bioretention without Underdrain420.15Water Quality Treatment</v>
      </c>
    </row>
    <row r="211" spans="1:12" x14ac:dyDescent="0.25">
      <c r="A211" s="94" t="s">
        <v>248</v>
      </c>
      <c r="C211" s="94">
        <v>2</v>
      </c>
      <c r="D211" s="27">
        <v>0.3</v>
      </c>
      <c r="G211" s="26" t="s">
        <v>72</v>
      </c>
      <c r="H211" s="115">
        <v>0.23200000000000001</v>
      </c>
      <c r="L211" s="94" t="str">
        <f t="shared" si="4"/>
        <v>Infiltrating Soil Cell Bioretention without Underdrain420.3Water Quality Treatment</v>
      </c>
    </row>
    <row r="212" spans="1:12" x14ac:dyDescent="0.25">
      <c r="A212" s="94" t="s">
        <v>248</v>
      </c>
      <c r="C212" s="94">
        <v>2</v>
      </c>
      <c r="D212" s="27">
        <v>0.6</v>
      </c>
      <c r="G212" s="26" t="s">
        <v>72</v>
      </c>
      <c r="H212" s="115">
        <v>0.115</v>
      </c>
      <c r="L212" s="94" t="str">
        <f t="shared" si="4"/>
        <v>Infiltrating Soil Cell Bioretention without Underdrain420.6Water Quality Treatment</v>
      </c>
    </row>
    <row r="213" spans="1:12" x14ac:dyDescent="0.25">
      <c r="A213" s="94" t="s">
        <v>248</v>
      </c>
      <c r="C213" s="94">
        <v>2</v>
      </c>
      <c r="D213" s="27">
        <v>1</v>
      </c>
      <c r="G213" s="26" t="s">
        <v>72</v>
      </c>
      <c r="H213" s="115">
        <v>9.9000000000000005E-2</v>
      </c>
      <c r="L213" s="94" t="str">
        <f t="shared" si="4"/>
        <v>Infiltrating Soil Cell Bioretention without Underdrain421Water Quality Treatment</v>
      </c>
    </row>
    <row r="214" spans="1:12" x14ac:dyDescent="0.25">
      <c r="A214" s="97" t="s">
        <v>248</v>
      </c>
      <c r="B214" s="97"/>
      <c r="C214" s="97">
        <v>2</v>
      </c>
      <c r="D214" s="33">
        <v>2.5</v>
      </c>
      <c r="E214" s="99"/>
      <c r="F214" s="99"/>
      <c r="G214" s="32" t="s">
        <v>72</v>
      </c>
      <c r="H214" s="116">
        <v>3.7999999999999999E-2</v>
      </c>
      <c r="I214" s="103"/>
      <c r="J214" s="97"/>
      <c r="K214" s="97"/>
      <c r="L214" s="97" t="str">
        <f t="shared" si="4"/>
        <v>Infiltrating Soil Cell Bioretention without Underdrain422.5Water Quality Treatment</v>
      </c>
    </row>
    <row r="215" spans="1:12" x14ac:dyDescent="0.25">
      <c r="A215" s="94" t="s">
        <v>248</v>
      </c>
      <c r="C215" s="94">
        <v>6</v>
      </c>
      <c r="D215" s="27">
        <v>0.15</v>
      </c>
      <c r="E215" s="98">
        <v>0</v>
      </c>
      <c r="F215" s="98">
        <v>2000</v>
      </c>
      <c r="G215" s="26" t="s">
        <v>7</v>
      </c>
      <c r="H215" s="115" t="s">
        <v>70</v>
      </c>
      <c r="J215" s="117" t="s">
        <v>75</v>
      </c>
      <c r="L215" s="94" t="str">
        <f t="shared" si="4"/>
        <v>Infiltrating Soil Cell Bioretention without Underdrain460.1502000Pre-developed Pasture Standard</v>
      </c>
    </row>
    <row r="216" spans="1:12" x14ac:dyDescent="0.25">
      <c r="A216" s="94" t="s">
        <v>248</v>
      </c>
      <c r="C216" s="94">
        <v>6</v>
      </c>
      <c r="D216" s="27">
        <v>0.15</v>
      </c>
      <c r="E216" s="98">
        <v>2000</v>
      </c>
      <c r="F216" s="98">
        <v>10000</v>
      </c>
      <c r="G216" s="26" t="s">
        <v>7</v>
      </c>
      <c r="H216" s="115" t="s">
        <v>70</v>
      </c>
      <c r="J216" s="117" t="s">
        <v>75</v>
      </c>
      <c r="L216" s="94" t="str">
        <f t="shared" si="4"/>
        <v>Infiltrating Soil Cell Bioretention without Underdrain460.15200010000Pre-developed Pasture Standard</v>
      </c>
    </row>
    <row r="217" spans="1:12" x14ac:dyDescent="0.25">
      <c r="A217" s="94" t="s">
        <v>248</v>
      </c>
      <c r="C217" s="94">
        <v>6</v>
      </c>
      <c r="D217" s="27">
        <v>0.3</v>
      </c>
      <c r="E217" s="98">
        <v>0</v>
      </c>
      <c r="F217" s="98">
        <v>2000</v>
      </c>
      <c r="G217" s="26" t="s">
        <v>7</v>
      </c>
      <c r="H217" s="115">
        <v>0.17399999999999999</v>
      </c>
      <c r="L217" s="94" t="str">
        <f t="shared" si="4"/>
        <v>Infiltrating Soil Cell Bioretention without Underdrain460.302000Pre-developed Pasture Standard</v>
      </c>
    </row>
    <row r="218" spans="1:12" x14ac:dyDescent="0.25">
      <c r="A218" s="94" t="s">
        <v>248</v>
      </c>
      <c r="C218" s="94">
        <v>6</v>
      </c>
      <c r="D218" s="27">
        <v>0.3</v>
      </c>
      <c r="E218" s="98">
        <v>2000</v>
      </c>
      <c r="F218" s="98">
        <v>10000</v>
      </c>
      <c r="G218" s="26" t="s">
        <v>7</v>
      </c>
      <c r="H218" s="115">
        <v>0.1052</v>
      </c>
      <c r="I218" s="115">
        <v>138.6</v>
      </c>
      <c r="L218" s="94" t="str">
        <f t="shared" si="4"/>
        <v>Infiltrating Soil Cell Bioretention without Underdrain460.3200010000Pre-developed Pasture Standard</v>
      </c>
    </row>
    <row r="219" spans="1:12" x14ac:dyDescent="0.25">
      <c r="A219" s="94" t="s">
        <v>248</v>
      </c>
      <c r="C219" s="94">
        <v>6</v>
      </c>
      <c r="D219" s="27">
        <v>0.6</v>
      </c>
      <c r="E219" s="98">
        <v>0</v>
      </c>
      <c r="F219" s="98">
        <v>2000</v>
      </c>
      <c r="G219" s="26" t="s">
        <v>7</v>
      </c>
      <c r="H219" s="115">
        <v>0.11700000000000001</v>
      </c>
      <c r="L219" s="94" t="str">
        <f t="shared" si="4"/>
        <v>Infiltrating Soil Cell Bioretention without Underdrain460.602000Pre-developed Pasture Standard</v>
      </c>
    </row>
    <row r="220" spans="1:12" x14ac:dyDescent="0.25">
      <c r="A220" s="94" t="s">
        <v>248</v>
      </c>
      <c r="C220" s="94">
        <v>6</v>
      </c>
      <c r="D220" s="27">
        <v>0.6</v>
      </c>
      <c r="E220" s="98">
        <v>2000</v>
      </c>
      <c r="F220" s="98">
        <v>10000</v>
      </c>
      <c r="G220" s="26" t="s">
        <v>7</v>
      </c>
      <c r="H220" s="115">
        <v>7.3800000000000004E-2</v>
      </c>
      <c r="I220" s="115">
        <v>89.3</v>
      </c>
      <c r="L220" s="94" t="str">
        <f t="shared" si="4"/>
        <v>Infiltrating Soil Cell Bioretention without Underdrain460.6200010000Pre-developed Pasture Standard</v>
      </c>
    </row>
    <row r="221" spans="1:12" x14ac:dyDescent="0.25">
      <c r="A221" s="94" t="s">
        <v>248</v>
      </c>
      <c r="C221" s="94">
        <v>6</v>
      </c>
      <c r="D221" s="27">
        <v>1</v>
      </c>
      <c r="E221" s="98">
        <v>0</v>
      </c>
      <c r="F221" s="98">
        <v>2000</v>
      </c>
      <c r="G221" s="26" t="s">
        <v>7</v>
      </c>
      <c r="H221" s="115">
        <v>0.10199999999999999</v>
      </c>
      <c r="L221" s="94" t="str">
        <f t="shared" si="4"/>
        <v>Infiltrating Soil Cell Bioretention without Underdrain46102000Pre-developed Pasture Standard</v>
      </c>
    </row>
    <row r="222" spans="1:12" x14ac:dyDescent="0.25">
      <c r="A222" s="94" t="s">
        <v>248</v>
      </c>
      <c r="C222" s="94">
        <v>6</v>
      </c>
      <c r="D222" s="27">
        <v>1</v>
      </c>
      <c r="E222" s="98">
        <v>2000</v>
      </c>
      <c r="F222" s="98">
        <v>10000</v>
      </c>
      <c r="G222" s="26" t="s">
        <v>7</v>
      </c>
      <c r="H222" s="115">
        <v>6.4799999999999996E-2</v>
      </c>
      <c r="I222" s="115">
        <v>76.2</v>
      </c>
      <c r="L222" s="94" t="str">
        <f t="shared" si="4"/>
        <v>Infiltrating Soil Cell Bioretention without Underdrain461200010000Pre-developed Pasture Standard</v>
      </c>
    </row>
    <row r="223" spans="1:12" x14ac:dyDescent="0.25">
      <c r="A223" s="94" t="s">
        <v>248</v>
      </c>
      <c r="C223" s="94">
        <v>6</v>
      </c>
      <c r="D223" s="27">
        <v>2.5</v>
      </c>
      <c r="E223" s="98">
        <v>0</v>
      </c>
      <c r="F223" s="98">
        <v>2000</v>
      </c>
      <c r="G223" s="26" t="s">
        <v>7</v>
      </c>
      <c r="H223" s="115">
        <v>4.5999999999999999E-2</v>
      </c>
      <c r="L223" s="94" t="str">
        <f t="shared" si="4"/>
        <v>Infiltrating Soil Cell Bioretention without Underdrain462.502000Pre-developed Pasture Standard</v>
      </c>
    </row>
    <row r="224" spans="1:12" x14ac:dyDescent="0.25">
      <c r="A224" s="97" t="s">
        <v>248</v>
      </c>
      <c r="B224" s="97"/>
      <c r="C224" s="97">
        <v>6</v>
      </c>
      <c r="D224" s="33">
        <v>2.5</v>
      </c>
      <c r="E224" s="99">
        <v>2000</v>
      </c>
      <c r="F224" s="99">
        <v>10000</v>
      </c>
      <c r="G224" s="32" t="s">
        <v>7</v>
      </c>
      <c r="H224" s="116">
        <v>3.0800000000000001E-2</v>
      </c>
      <c r="I224" s="116">
        <v>27</v>
      </c>
      <c r="J224" s="97"/>
      <c r="K224" s="97"/>
      <c r="L224" s="97" t="str">
        <f t="shared" si="4"/>
        <v>Infiltrating Soil Cell Bioretention without Underdrain462.5200010000Pre-developed Pasture Standard</v>
      </c>
    </row>
    <row r="225" spans="1:12" x14ac:dyDescent="0.25">
      <c r="A225" s="94" t="s">
        <v>248</v>
      </c>
      <c r="C225" s="94">
        <v>6</v>
      </c>
      <c r="D225" s="27">
        <v>0.15</v>
      </c>
      <c r="G225" s="26" t="s">
        <v>71</v>
      </c>
      <c r="H225" s="115" t="s">
        <v>70</v>
      </c>
      <c r="J225" s="117" t="s">
        <v>75</v>
      </c>
      <c r="L225" s="94" t="str">
        <f t="shared" si="4"/>
        <v>Infiltrating Soil Cell Bioretention without Underdrain460.15Peak Control Standard</v>
      </c>
    </row>
    <row r="226" spans="1:12" x14ac:dyDescent="0.25">
      <c r="A226" s="94" t="s">
        <v>248</v>
      </c>
      <c r="C226" s="94">
        <v>6</v>
      </c>
      <c r="D226" s="27">
        <v>0.3</v>
      </c>
      <c r="G226" s="26" t="s">
        <v>71</v>
      </c>
      <c r="H226" s="115">
        <v>0.17599999999999999</v>
      </c>
      <c r="L226" s="94" t="str">
        <f t="shared" si="4"/>
        <v>Infiltrating Soil Cell Bioretention without Underdrain460.3Peak Control Standard</v>
      </c>
    </row>
    <row r="227" spans="1:12" x14ac:dyDescent="0.25">
      <c r="A227" s="94" t="s">
        <v>248</v>
      </c>
      <c r="C227" s="94">
        <v>6</v>
      </c>
      <c r="D227" s="27">
        <v>0.6</v>
      </c>
      <c r="G227" s="26" t="s">
        <v>71</v>
      </c>
      <c r="H227" s="115">
        <v>0.14399999999999999</v>
      </c>
      <c r="L227" s="94" t="str">
        <f t="shared" si="4"/>
        <v>Infiltrating Soil Cell Bioretention without Underdrain460.6Peak Control Standard</v>
      </c>
    </row>
    <row r="228" spans="1:12" x14ac:dyDescent="0.25">
      <c r="A228" s="94" t="s">
        <v>248</v>
      </c>
      <c r="C228" s="94">
        <v>6</v>
      </c>
      <c r="D228" s="27">
        <v>1</v>
      </c>
      <c r="G228" s="26" t="s">
        <v>71</v>
      </c>
      <c r="H228" s="115">
        <v>0.129</v>
      </c>
      <c r="L228" s="94" t="str">
        <f t="shared" si="4"/>
        <v>Infiltrating Soil Cell Bioretention without Underdrain461Peak Control Standard</v>
      </c>
    </row>
    <row r="229" spans="1:12" x14ac:dyDescent="0.25">
      <c r="A229" s="97" t="s">
        <v>248</v>
      </c>
      <c r="B229" s="97"/>
      <c r="C229" s="97">
        <v>6</v>
      </c>
      <c r="D229" s="33">
        <v>2.5</v>
      </c>
      <c r="E229" s="99"/>
      <c r="F229" s="99"/>
      <c r="G229" s="32" t="s">
        <v>71</v>
      </c>
      <c r="H229" s="116">
        <v>7.4999999999999997E-2</v>
      </c>
      <c r="I229" s="103"/>
      <c r="J229" s="97"/>
      <c r="K229" s="97"/>
      <c r="L229" s="97" t="str">
        <f t="shared" si="4"/>
        <v>Infiltrating Soil Cell Bioretention without Underdrain462.5Peak Control Standard</v>
      </c>
    </row>
    <row r="230" spans="1:12" x14ac:dyDescent="0.25">
      <c r="A230" s="94" t="s">
        <v>248</v>
      </c>
      <c r="C230" s="94">
        <v>6</v>
      </c>
      <c r="D230" s="27">
        <v>0.15</v>
      </c>
      <c r="G230" s="26" t="s">
        <v>72</v>
      </c>
      <c r="H230" s="115" t="s">
        <v>70</v>
      </c>
      <c r="J230" s="117" t="s">
        <v>75</v>
      </c>
      <c r="L230" s="94" t="str">
        <f t="shared" si="4"/>
        <v>Infiltrating Soil Cell Bioretention without Underdrain460.15Water Quality Treatment</v>
      </c>
    </row>
    <row r="231" spans="1:12" x14ac:dyDescent="0.25">
      <c r="A231" s="94" t="s">
        <v>248</v>
      </c>
      <c r="C231" s="94">
        <v>6</v>
      </c>
      <c r="D231" s="27">
        <v>0.3</v>
      </c>
      <c r="G231" s="26" t="s">
        <v>72</v>
      </c>
      <c r="H231" s="115">
        <v>7.1999999999999995E-2</v>
      </c>
      <c r="L231" s="94" t="str">
        <f t="shared" si="4"/>
        <v>Infiltrating Soil Cell Bioretention without Underdrain460.3Water Quality Treatment</v>
      </c>
    </row>
    <row r="232" spans="1:12" x14ac:dyDescent="0.25">
      <c r="A232" s="94" t="s">
        <v>248</v>
      </c>
      <c r="C232" s="94">
        <v>6</v>
      </c>
      <c r="D232" s="27">
        <v>0.6</v>
      </c>
      <c r="G232" s="26" t="s">
        <v>72</v>
      </c>
      <c r="H232" s="115">
        <v>4.9000000000000002E-2</v>
      </c>
      <c r="L232" s="94" t="str">
        <f t="shared" si="4"/>
        <v>Infiltrating Soil Cell Bioretention without Underdrain460.6Water Quality Treatment</v>
      </c>
    </row>
    <row r="233" spans="1:12" x14ac:dyDescent="0.25">
      <c r="A233" s="94" t="s">
        <v>248</v>
      </c>
      <c r="C233" s="94">
        <v>6</v>
      </c>
      <c r="D233" s="27">
        <v>1</v>
      </c>
      <c r="G233" s="26" t="s">
        <v>72</v>
      </c>
      <c r="H233" s="115">
        <v>4.3999999999999997E-2</v>
      </c>
      <c r="L233" s="94" t="str">
        <f t="shared" si="4"/>
        <v>Infiltrating Soil Cell Bioretention without Underdrain461Water Quality Treatment</v>
      </c>
    </row>
    <row r="234" spans="1:12" x14ac:dyDescent="0.25">
      <c r="A234" s="97" t="s">
        <v>248</v>
      </c>
      <c r="B234" s="97"/>
      <c r="C234" s="97">
        <v>6</v>
      </c>
      <c r="D234" s="33">
        <v>2.5</v>
      </c>
      <c r="E234" s="99"/>
      <c r="F234" s="99"/>
      <c r="G234" s="32" t="s">
        <v>72</v>
      </c>
      <c r="H234" s="116">
        <v>2.1999999999999999E-2</v>
      </c>
      <c r="I234" s="103"/>
      <c r="J234" s="97"/>
      <c r="K234" s="97"/>
      <c r="L234" s="97" t="str">
        <f t="shared" si="4"/>
        <v>Infiltrating Soil Cell Bioretention without Underdrain462.5Water Quality Treatment</v>
      </c>
    </row>
    <row r="235" spans="1:12" x14ac:dyDescent="0.25">
      <c r="A235" s="94" t="s">
        <v>248</v>
      </c>
      <c r="C235" s="94">
        <v>12</v>
      </c>
      <c r="D235" s="27">
        <v>0.15</v>
      </c>
      <c r="E235" s="98">
        <v>0</v>
      </c>
      <c r="F235" s="98">
        <v>2000</v>
      </c>
      <c r="G235" s="26" t="s">
        <v>7</v>
      </c>
      <c r="H235" s="115" t="s">
        <v>70</v>
      </c>
      <c r="J235" s="117" t="s">
        <v>75</v>
      </c>
      <c r="L235" s="94" t="str">
        <f t="shared" si="4"/>
        <v>Infiltrating Soil Cell Bioretention without Underdrain4120.1502000Pre-developed Pasture Standard</v>
      </c>
    </row>
    <row r="236" spans="1:12" x14ac:dyDescent="0.25">
      <c r="A236" s="94" t="s">
        <v>248</v>
      </c>
      <c r="C236" s="94">
        <v>12</v>
      </c>
      <c r="D236" s="27">
        <v>0.15</v>
      </c>
      <c r="E236" s="98">
        <v>2000</v>
      </c>
      <c r="F236" s="98">
        <v>10000</v>
      </c>
      <c r="G236" s="26" t="s">
        <v>7</v>
      </c>
      <c r="H236" s="115">
        <v>0.04</v>
      </c>
      <c r="L236" s="94" t="str">
        <f t="shared" si="4"/>
        <v>Infiltrating Soil Cell Bioretention without Underdrain4120.15200010000Pre-developed Pasture Standard</v>
      </c>
    </row>
    <row r="237" spans="1:12" x14ac:dyDescent="0.25">
      <c r="A237" s="94" t="s">
        <v>248</v>
      </c>
      <c r="C237" s="94">
        <v>12</v>
      </c>
      <c r="D237" s="27">
        <v>0.3</v>
      </c>
      <c r="E237" s="98">
        <v>0</v>
      </c>
      <c r="F237" s="98">
        <v>2000</v>
      </c>
      <c r="G237" s="26" t="s">
        <v>7</v>
      </c>
      <c r="H237" s="115">
        <v>3.5000000000000003E-2</v>
      </c>
      <c r="L237" s="94" t="str">
        <f t="shared" si="4"/>
        <v>Infiltrating Soil Cell Bioretention without Underdrain4120.302000Pre-developed Pasture Standard</v>
      </c>
    </row>
    <row r="238" spans="1:12" x14ac:dyDescent="0.25">
      <c r="A238" s="94" t="s">
        <v>248</v>
      </c>
      <c r="C238" s="94">
        <v>12</v>
      </c>
      <c r="D238" s="27">
        <v>0.3</v>
      </c>
      <c r="E238" s="98">
        <v>2000</v>
      </c>
      <c r="F238" s="98">
        <v>10000</v>
      </c>
      <c r="G238" s="26" t="s">
        <v>7</v>
      </c>
      <c r="H238" s="115">
        <v>1.7999999999999999E-2</v>
      </c>
      <c r="L238" s="94" t="str">
        <f t="shared" si="4"/>
        <v>Infiltrating Soil Cell Bioretention without Underdrain4120.3200010000Pre-developed Pasture Standard</v>
      </c>
    </row>
    <row r="239" spans="1:12" x14ac:dyDescent="0.25">
      <c r="A239" s="94" t="s">
        <v>248</v>
      </c>
      <c r="C239" s="94">
        <v>12</v>
      </c>
      <c r="D239" s="27">
        <v>0.6</v>
      </c>
      <c r="E239" s="98">
        <v>0</v>
      </c>
      <c r="F239" s="98">
        <v>2000</v>
      </c>
      <c r="G239" s="26" t="s">
        <v>7</v>
      </c>
      <c r="H239" s="115">
        <v>8.8999999999999996E-2</v>
      </c>
      <c r="L239" s="94" t="str">
        <f t="shared" si="4"/>
        <v>Infiltrating Soil Cell Bioretention without Underdrain4120.602000Pre-developed Pasture Standard</v>
      </c>
    </row>
    <row r="240" spans="1:12" x14ac:dyDescent="0.25">
      <c r="A240" s="94" t="s">
        <v>248</v>
      </c>
      <c r="C240" s="94">
        <v>12</v>
      </c>
      <c r="D240" s="27">
        <v>0.6</v>
      </c>
      <c r="E240" s="98">
        <v>2000</v>
      </c>
      <c r="F240" s="98">
        <v>10000</v>
      </c>
      <c r="G240" s="26" t="s">
        <v>7</v>
      </c>
      <c r="H240" s="115">
        <v>5.7000000000000002E-2</v>
      </c>
      <c r="I240" s="115">
        <v>63.4</v>
      </c>
      <c r="L240" s="94" t="str">
        <f t="shared" si="4"/>
        <v>Infiltrating Soil Cell Bioretention without Underdrain4120.6200010000Pre-developed Pasture Standard</v>
      </c>
    </row>
    <row r="241" spans="1:12" x14ac:dyDescent="0.25">
      <c r="A241" s="94" t="s">
        <v>248</v>
      </c>
      <c r="C241" s="94">
        <v>12</v>
      </c>
      <c r="D241" s="27">
        <v>1</v>
      </c>
      <c r="E241" s="98">
        <v>0</v>
      </c>
      <c r="F241" s="98">
        <v>2000</v>
      </c>
      <c r="G241" s="26" t="s">
        <v>7</v>
      </c>
      <c r="H241" s="115">
        <v>7.6999999999999999E-2</v>
      </c>
      <c r="L241" s="94" t="str">
        <f t="shared" si="4"/>
        <v>Infiltrating Soil Cell Bioretention without Underdrain412102000Pre-developed Pasture Standard</v>
      </c>
    </row>
    <row r="242" spans="1:12" x14ac:dyDescent="0.25">
      <c r="A242" s="94" t="s">
        <v>248</v>
      </c>
      <c r="C242" s="94">
        <v>12</v>
      </c>
      <c r="D242" s="27">
        <v>1</v>
      </c>
      <c r="E242" s="98">
        <v>2000</v>
      </c>
      <c r="F242" s="98">
        <v>10000</v>
      </c>
      <c r="G242" s="26" t="s">
        <v>7</v>
      </c>
      <c r="H242" s="115">
        <v>5.0500000000000003E-2</v>
      </c>
      <c r="I242" s="115">
        <v>52.6</v>
      </c>
      <c r="L242" s="94" t="str">
        <f t="shared" si="4"/>
        <v>Infiltrating Soil Cell Bioretention without Underdrain4121200010000Pre-developed Pasture Standard</v>
      </c>
    </row>
    <row r="243" spans="1:12" x14ac:dyDescent="0.25">
      <c r="A243" s="94" t="s">
        <v>248</v>
      </c>
      <c r="C243" s="94">
        <v>12</v>
      </c>
      <c r="D243" s="27">
        <v>2.5</v>
      </c>
      <c r="E243" s="98">
        <v>0</v>
      </c>
      <c r="F243" s="98">
        <v>2000</v>
      </c>
      <c r="G243" s="26" t="s">
        <v>7</v>
      </c>
      <c r="H243" s="115">
        <v>3.3000000000000002E-2</v>
      </c>
      <c r="L243" s="94" t="str">
        <f t="shared" si="4"/>
        <v>Infiltrating Soil Cell Bioretention without Underdrain4122.502000Pre-developed Pasture Standard</v>
      </c>
    </row>
    <row r="244" spans="1:12" x14ac:dyDescent="0.25">
      <c r="A244" s="97" t="s">
        <v>248</v>
      </c>
      <c r="B244" s="97"/>
      <c r="C244" s="97">
        <v>12</v>
      </c>
      <c r="D244" s="33">
        <v>2.5</v>
      </c>
      <c r="E244" s="99">
        <v>2000</v>
      </c>
      <c r="F244" s="99">
        <v>10000</v>
      </c>
      <c r="G244" s="32" t="s">
        <v>7</v>
      </c>
      <c r="H244" s="116">
        <v>2.6100000000000002E-2</v>
      </c>
      <c r="I244" s="116">
        <v>11.9</v>
      </c>
      <c r="J244" s="97"/>
      <c r="K244" s="97"/>
      <c r="L244" s="97" t="str">
        <f t="shared" si="4"/>
        <v>Infiltrating Soil Cell Bioretention without Underdrain4122.5200010000Pre-developed Pasture Standard</v>
      </c>
    </row>
    <row r="245" spans="1:12" x14ac:dyDescent="0.25">
      <c r="A245" s="94" t="s">
        <v>248</v>
      </c>
      <c r="C245" s="94">
        <v>12</v>
      </c>
      <c r="D245" s="27">
        <v>0.15</v>
      </c>
      <c r="G245" s="26" t="s">
        <v>71</v>
      </c>
      <c r="H245" s="115" t="s">
        <v>70</v>
      </c>
      <c r="J245" s="117" t="s">
        <v>75</v>
      </c>
      <c r="L245" s="94" t="str">
        <f t="shared" si="4"/>
        <v>Infiltrating Soil Cell Bioretention without Underdrain4120.15Peak Control Standard</v>
      </c>
    </row>
    <row r="246" spans="1:12" x14ac:dyDescent="0.25">
      <c r="A246" s="94" t="s">
        <v>248</v>
      </c>
      <c r="C246" s="94">
        <v>12</v>
      </c>
      <c r="D246" s="27">
        <v>0.3</v>
      </c>
      <c r="G246" s="26" t="s">
        <v>71</v>
      </c>
      <c r="H246" s="115" t="s">
        <v>70</v>
      </c>
      <c r="J246" s="117" t="s">
        <v>75</v>
      </c>
      <c r="L246" s="94" t="str">
        <f t="shared" si="4"/>
        <v>Infiltrating Soil Cell Bioretention without Underdrain4120.3Peak Control Standard</v>
      </c>
    </row>
    <row r="247" spans="1:12" x14ac:dyDescent="0.25">
      <c r="A247" s="94" t="s">
        <v>248</v>
      </c>
      <c r="C247" s="94">
        <v>12</v>
      </c>
      <c r="D247" s="27">
        <v>0.6</v>
      </c>
      <c r="G247" s="26" t="s">
        <v>71</v>
      </c>
      <c r="H247" s="115">
        <v>0.106</v>
      </c>
      <c r="L247" s="94" t="str">
        <f t="shared" si="4"/>
        <v>Infiltrating Soil Cell Bioretention without Underdrain4120.6Peak Control Standard</v>
      </c>
    </row>
    <row r="248" spans="1:12" x14ac:dyDescent="0.25">
      <c r="A248" s="94" t="s">
        <v>248</v>
      </c>
      <c r="C248" s="94">
        <v>12</v>
      </c>
      <c r="D248" s="27">
        <v>1</v>
      </c>
      <c r="G248" s="26" t="s">
        <v>71</v>
      </c>
      <c r="H248" s="115">
        <v>9.5000000000000001E-2</v>
      </c>
      <c r="L248" s="94" t="str">
        <f t="shared" si="4"/>
        <v>Infiltrating Soil Cell Bioretention without Underdrain4121Peak Control Standard</v>
      </c>
    </row>
    <row r="249" spans="1:12" x14ac:dyDescent="0.25">
      <c r="A249" s="97" t="s">
        <v>248</v>
      </c>
      <c r="B249" s="97"/>
      <c r="C249" s="97">
        <v>12</v>
      </c>
      <c r="D249" s="33">
        <v>2.5</v>
      </c>
      <c r="E249" s="99"/>
      <c r="F249" s="99"/>
      <c r="G249" s="32" t="s">
        <v>71</v>
      </c>
      <c r="H249" s="116">
        <v>5.0999999999999997E-2</v>
      </c>
      <c r="I249" s="103"/>
      <c r="J249" s="97"/>
      <c r="K249" s="97"/>
      <c r="L249" s="97" t="str">
        <f t="shared" si="4"/>
        <v>Infiltrating Soil Cell Bioretention without Underdrain4122.5Peak Control Standard</v>
      </c>
    </row>
    <row r="250" spans="1:12" x14ac:dyDescent="0.25">
      <c r="A250" s="94" t="s">
        <v>248</v>
      </c>
      <c r="C250" s="94">
        <v>12</v>
      </c>
      <c r="D250" s="27">
        <v>0.15</v>
      </c>
      <c r="G250" s="26" t="s">
        <v>72</v>
      </c>
      <c r="H250" s="115" t="s">
        <v>70</v>
      </c>
      <c r="J250" s="117" t="s">
        <v>75</v>
      </c>
      <c r="L250" s="94" t="str">
        <f t="shared" si="4"/>
        <v>Infiltrating Soil Cell Bioretention without Underdrain4120.15Water Quality Treatment</v>
      </c>
    </row>
    <row r="251" spans="1:12" x14ac:dyDescent="0.25">
      <c r="A251" s="94" t="s">
        <v>248</v>
      </c>
      <c r="C251" s="94">
        <v>12</v>
      </c>
      <c r="D251" s="27">
        <v>0.3</v>
      </c>
      <c r="G251" s="26" t="s">
        <v>72</v>
      </c>
      <c r="H251" s="115" t="s">
        <v>70</v>
      </c>
      <c r="J251" s="117" t="s">
        <v>75</v>
      </c>
      <c r="L251" s="94" t="str">
        <f t="shared" si="4"/>
        <v>Infiltrating Soil Cell Bioretention without Underdrain4120.3Water Quality Treatment</v>
      </c>
    </row>
    <row r="252" spans="1:12" x14ac:dyDescent="0.25">
      <c r="A252" s="94" t="s">
        <v>248</v>
      </c>
      <c r="C252" s="94">
        <v>12</v>
      </c>
      <c r="D252" s="27">
        <v>0.6</v>
      </c>
      <c r="G252" s="26" t="s">
        <v>72</v>
      </c>
      <c r="H252" s="115">
        <v>0.04</v>
      </c>
      <c r="L252" s="94" t="str">
        <f t="shared" si="4"/>
        <v>Infiltrating Soil Cell Bioretention without Underdrain4120.6Water Quality Treatment</v>
      </c>
    </row>
    <row r="253" spans="1:12" x14ac:dyDescent="0.25">
      <c r="A253" s="94" t="s">
        <v>248</v>
      </c>
      <c r="C253" s="94">
        <v>12</v>
      </c>
      <c r="D253" s="27">
        <v>1</v>
      </c>
      <c r="G253" s="26" t="s">
        <v>72</v>
      </c>
      <c r="H253" s="115">
        <v>3.5000000000000003E-2</v>
      </c>
      <c r="L253" s="94" t="str">
        <f t="shared" si="4"/>
        <v>Infiltrating Soil Cell Bioretention without Underdrain4121Water Quality Treatment</v>
      </c>
    </row>
    <row r="254" spans="1:12" x14ac:dyDescent="0.25">
      <c r="A254" s="97" t="s">
        <v>248</v>
      </c>
      <c r="B254" s="97"/>
      <c r="C254" s="97">
        <v>12</v>
      </c>
      <c r="D254" s="33">
        <v>2.5</v>
      </c>
      <c r="E254" s="99"/>
      <c r="F254" s="99"/>
      <c r="G254" s="32" t="s">
        <v>72</v>
      </c>
      <c r="H254" s="116">
        <v>1.7999999999999999E-2</v>
      </c>
      <c r="I254" s="103"/>
      <c r="J254" s="97"/>
      <c r="K254" s="97"/>
      <c r="L254" s="97" t="str">
        <f t="shared" ref="L254" si="5">A254&amp;B254&amp;C254&amp;D254&amp;E254&amp;F254&amp;G254</f>
        <v>Infiltrating Soil Cell Bioretention without Underdrain4122.5Water Quality Treatment</v>
      </c>
    </row>
    <row r="255" spans="1:12" x14ac:dyDescent="0.25">
      <c r="D255" s="27"/>
      <c r="G255" s="26"/>
      <c r="H255" s="26"/>
      <c r="I255" s="26"/>
      <c r="J255" s="26"/>
    </row>
    <row r="256" spans="1:12" x14ac:dyDescent="0.25">
      <c r="A256" s="96" t="s">
        <v>156</v>
      </c>
      <c r="B256" s="97"/>
      <c r="C256" s="97"/>
      <c r="D256" s="97"/>
      <c r="E256" s="99"/>
      <c r="F256" s="99"/>
      <c r="G256" s="97"/>
      <c r="H256" s="103"/>
      <c r="I256" s="103"/>
      <c r="J256" s="97"/>
      <c r="K256" s="97"/>
      <c r="L256" s="97"/>
    </row>
    <row r="257" spans="1:12" x14ac:dyDescent="0.25">
      <c r="A257" s="34" t="s">
        <v>68</v>
      </c>
      <c r="B257" s="34"/>
      <c r="C257" s="34" t="s">
        <v>85</v>
      </c>
      <c r="D257" s="34"/>
      <c r="E257" s="44"/>
      <c r="F257" s="44"/>
      <c r="G257" s="34" t="s">
        <v>79</v>
      </c>
      <c r="H257" s="34" t="s">
        <v>73</v>
      </c>
      <c r="I257" s="34" t="s">
        <v>74</v>
      </c>
      <c r="J257" s="34" t="s">
        <v>76</v>
      </c>
      <c r="K257" s="34"/>
      <c r="L257" s="34" t="s">
        <v>80</v>
      </c>
    </row>
    <row r="258" spans="1:12" x14ac:dyDescent="0.25">
      <c r="A258" s="94" t="s">
        <v>241</v>
      </c>
      <c r="C258" s="94">
        <v>2</v>
      </c>
      <c r="D258" s="27"/>
      <c r="G258" s="26" t="s">
        <v>7</v>
      </c>
      <c r="H258" s="115" t="s">
        <v>70</v>
      </c>
      <c r="J258" s="94" t="s">
        <v>253</v>
      </c>
      <c r="L258" s="94" t="str">
        <f t="shared" ref="L258:L266" si="6">A258&amp;B258&amp;C258&amp;D258&amp;E258&amp;F258&amp;G258</f>
        <v>Infiltrating Soil Cell Bioretention with Underdrain42Pre-developed Pasture Standard</v>
      </c>
    </row>
    <row r="259" spans="1:12" x14ac:dyDescent="0.25">
      <c r="A259" s="94" t="s">
        <v>241</v>
      </c>
      <c r="C259" s="94">
        <v>6</v>
      </c>
      <c r="D259" s="27"/>
      <c r="G259" s="26" t="s">
        <v>7</v>
      </c>
      <c r="H259" s="115" t="s">
        <v>70</v>
      </c>
      <c r="J259" s="94" t="s">
        <v>253</v>
      </c>
      <c r="L259" s="94" t="str">
        <f t="shared" si="6"/>
        <v>Infiltrating Soil Cell Bioretention with Underdrain46Pre-developed Pasture Standard</v>
      </c>
    </row>
    <row r="260" spans="1:12" x14ac:dyDescent="0.25">
      <c r="A260" s="97" t="s">
        <v>241</v>
      </c>
      <c r="B260" s="97"/>
      <c r="C260" s="97">
        <v>12</v>
      </c>
      <c r="D260" s="33"/>
      <c r="E260" s="99"/>
      <c r="F260" s="99"/>
      <c r="G260" s="32" t="s">
        <v>7</v>
      </c>
      <c r="H260" s="130" t="s">
        <v>70</v>
      </c>
      <c r="I260" s="32"/>
      <c r="J260" s="32" t="s">
        <v>253</v>
      </c>
      <c r="K260" s="97"/>
      <c r="L260" s="97" t="str">
        <f t="shared" si="6"/>
        <v>Infiltrating Soil Cell Bioretention with Underdrain412Pre-developed Pasture Standard</v>
      </c>
    </row>
    <row r="261" spans="1:12" x14ac:dyDescent="0.25">
      <c r="A261" s="94" t="s">
        <v>241</v>
      </c>
      <c r="C261" s="94">
        <v>2</v>
      </c>
      <c r="D261" s="27"/>
      <c r="G261" s="26" t="s">
        <v>71</v>
      </c>
      <c r="H261" s="131" t="s">
        <v>70</v>
      </c>
      <c r="I261" s="26"/>
      <c r="J261" s="26" t="s">
        <v>253</v>
      </c>
      <c r="L261" s="94" t="str">
        <f t="shared" si="6"/>
        <v>Infiltrating Soil Cell Bioretention with Underdrain42Peak Control Standard</v>
      </c>
    </row>
    <row r="262" spans="1:12" x14ac:dyDescent="0.25">
      <c r="A262" s="94" t="s">
        <v>241</v>
      </c>
      <c r="C262" s="94">
        <v>6</v>
      </c>
      <c r="D262" s="27"/>
      <c r="G262" s="26" t="s">
        <v>71</v>
      </c>
      <c r="H262" s="131" t="s">
        <v>70</v>
      </c>
      <c r="I262" s="26"/>
      <c r="J262" s="26" t="s">
        <v>253</v>
      </c>
      <c r="L262" s="94" t="str">
        <f t="shared" si="6"/>
        <v>Infiltrating Soil Cell Bioretention with Underdrain46Peak Control Standard</v>
      </c>
    </row>
    <row r="263" spans="1:12" x14ac:dyDescent="0.25">
      <c r="A263" s="97" t="s">
        <v>241</v>
      </c>
      <c r="B263" s="97"/>
      <c r="C263" s="97">
        <v>12</v>
      </c>
      <c r="D263" s="33"/>
      <c r="E263" s="99"/>
      <c r="F263" s="99"/>
      <c r="G263" s="32" t="s">
        <v>71</v>
      </c>
      <c r="H263" s="130" t="s">
        <v>70</v>
      </c>
      <c r="I263" s="32"/>
      <c r="J263" s="32" t="s">
        <v>253</v>
      </c>
      <c r="K263" s="97"/>
      <c r="L263" s="97" t="str">
        <f t="shared" si="6"/>
        <v>Infiltrating Soil Cell Bioretention with Underdrain412Peak Control Standard</v>
      </c>
    </row>
    <row r="264" spans="1:12" x14ac:dyDescent="0.25">
      <c r="A264" s="94" t="s">
        <v>241</v>
      </c>
      <c r="C264" s="94">
        <v>2</v>
      </c>
      <c r="D264" s="27"/>
      <c r="G264" s="26" t="s">
        <v>72</v>
      </c>
      <c r="H264" s="131">
        <v>1.7999999999999999E-2</v>
      </c>
      <c r="I264" s="26"/>
      <c r="J264" s="26"/>
      <c r="L264" s="94" t="str">
        <f t="shared" si="6"/>
        <v>Infiltrating Soil Cell Bioretention with Underdrain42Water Quality Treatment</v>
      </c>
    </row>
    <row r="265" spans="1:12" x14ac:dyDescent="0.25">
      <c r="A265" s="94" t="s">
        <v>241</v>
      </c>
      <c r="C265" s="94">
        <v>6</v>
      </c>
      <c r="D265" s="27"/>
      <c r="G265" s="26" t="s">
        <v>72</v>
      </c>
      <c r="H265" s="131">
        <v>1.4E-2</v>
      </c>
      <c r="I265" s="26"/>
      <c r="J265" s="26"/>
      <c r="L265" s="94" t="str">
        <f t="shared" si="6"/>
        <v>Infiltrating Soil Cell Bioretention with Underdrain46Water Quality Treatment</v>
      </c>
    </row>
    <row r="266" spans="1:12" x14ac:dyDescent="0.25">
      <c r="A266" s="97" t="s">
        <v>241</v>
      </c>
      <c r="B266" s="97"/>
      <c r="C266" s="97">
        <v>12</v>
      </c>
      <c r="D266" s="33"/>
      <c r="E266" s="99"/>
      <c r="F266" s="99"/>
      <c r="G266" s="32" t="s">
        <v>72</v>
      </c>
      <c r="H266" s="130">
        <v>1.0999999999999999E-2</v>
      </c>
      <c r="I266" s="32"/>
      <c r="J266" s="32"/>
      <c r="K266" s="97"/>
      <c r="L266" s="97" t="str">
        <f t="shared" si="6"/>
        <v>Infiltrating Soil Cell Bioretention with Underdrain412Water Quality Treatment</v>
      </c>
    </row>
    <row r="267" spans="1:12" x14ac:dyDescent="0.25">
      <c r="D267" s="27"/>
      <c r="G267" s="26"/>
    </row>
    <row r="268" spans="1:12" x14ac:dyDescent="0.25">
      <c r="A268" s="96" t="s">
        <v>143</v>
      </c>
      <c r="B268" s="97"/>
      <c r="C268" s="97"/>
      <c r="D268" s="33"/>
      <c r="E268" s="99"/>
      <c r="F268" s="99"/>
      <c r="G268" s="32"/>
      <c r="H268" s="103"/>
      <c r="I268" s="103"/>
      <c r="J268" s="97"/>
      <c r="K268" s="97"/>
      <c r="L268" s="97"/>
    </row>
    <row r="269" spans="1:12" ht="60" x14ac:dyDescent="0.25">
      <c r="A269" s="34" t="s">
        <v>68</v>
      </c>
      <c r="B269" s="34"/>
      <c r="C269" s="34" t="s">
        <v>84</v>
      </c>
      <c r="D269" s="34" t="s">
        <v>86</v>
      </c>
      <c r="E269" s="44" t="s">
        <v>111</v>
      </c>
      <c r="F269" s="44" t="s">
        <v>112</v>
      </c>
      <c r="G269" s="34" t="s">
        <v>79</v>
      </c>
      <c r="H269" s="34" t="s">
        <v>73</v>
      </c>
      <c r="I269" s="34" t="s">
        <v>74</v>
      </c>
      <c r="J269" s="34" t="s">
        <v>76</v>
      </c>
      <c r="K269" s="34"/>
      <c r="L269" s="34" t="s">
        <v>80</v>
      </c>
    </row>
    <row r="270" spans="1:12" x14ac:dyDescent="0.25">
      <c r="A270" s="95" t="s">
        <v>242</v>
      </c>
      <c r="B270" s="95"/>
      <c r="C270" s="95">
        <v>1.5</v>
      </c>
      <c r="D270" s="39">
        <v>1</v>
      </c>
      <c r="E270" s="100">
        <v>0</v>
      </c>
      <c r="F270" s="100">
        <v>2000</v>
      </c>
      <c r="G270" s="40" t="s">
        <v>7</v>
      </c>
      <c r="H270" s="110">
        <v>0.12</v>
      </c>
      <c r="I270" s="110">
        <v>0</v>
      </c>
      <c r="J270" s="95"/>
      <c r="K270" s="95"/>
      <c r="L270" s="95" t="str">
        <f>A270&amp;C270&amp;D270&amp;E270&amp;F270&amp;G270</f>
        <v>Infiltration Trench31.5102000Pre-developed Pasture Standard</v>
      </c>
    </row>
    <row r="271" spans="1:12" x14ac:dyDescent="0.25">
      <c r="A271" s="94" t="s">
        <v>242</v>
      </c>
      <c r="C271" s="94">
        <v>1.5</v>
      </c>
      <c r="D271" s="27">
        <v>1</v>
      </c>
      <c r="E271" s="98">
        <v>2000</v>
      </c>
      <c r="F271" s="98">
        <v>10000</v>
      </c>
      <c r="G271" s="26" t="s">
        <v>7</v>
      </c>
      <c r="H271" s="105">
        <v>7.6399999999999996E-2</v>
      </c>
      <c r="I271" s="105">
        <v>56.3</v>
      </c>
      <c r="L271" s="94" t="str">
        <f t="shared" ref="L271:L285" si="7">A271&amp;B271&amp;C271&amp;D271&amp;E271&amp;F271&amp;G271</f>
        <v>Infiltration Trench31.51200010000Pre-developed Pasture Standard</v>
      </c>
    </row>
    <row r="272" spans="1:12" x14ac:dyDescent="0.25">
      <c r="A272" s="94" t="s">
        <v>242</v>
      </c>
      <c r="C272" s="94">
        <v>1.5</v>
      </c>
      <c r="D272" s="27">
        <v>2.5</v>
      </c>
      <c r="E272" s="98">
        <v>0</v>
      </c>
      <c r="F272" s="98">
        <v>2000</v>
      </c>
      <c r="G272" s="26" t="s">
        <v>7</v>
      </c>
      <c r="H272" s="105">
        <v>5.3999999999999999E-2</v>
      </c>
      <c r="I272" s="105">
        <v>0</v>
      </c>
      <c r="L272" s="94" t="str">
        <f t="shared" si="7"/>
        <v>Infiltration Trench31.52.502000Pre-developed Pasture Standard</v>
      </c>
    </row>
    <row r="273" spans="1:12" x14ac:dyDescent="0.25">
      <c r="A273" s="97" t="s">
        <v>242</v>
      </c>
      <c r="B273" s="97"/>
      <c r="C273" s="97">
        <v>1.5</v>
      </c>
      <c r="D273" s="33">
        <v>2.5</v>
      </c>
      <c r="E273" s="99">
        <v>2000</v>
      </c>
      <c r="F273" s="99">
        <v>10000</v>
      </c>
      <c r="G273" s="32" t="s">
        <v>7</v>
      </c>
      <c r="H273" s="103">
        <v>3.1099999999999999E-2</v>
      </c>
      <c r="I273" s="103">
        <v>47.2</v>
      </c>
      <c r="J273" s="97"/>
      <c r="K273" s="97"/>
      <c r="L273" s="97" t="str">
        <f t="shared" si="7"/>
        <v>Infiltration Trench31.52.5200010000Pre-developed Pasture Standard</v>
      </c>
    </row>
    <row r="274" spans="1:12" x14ac:dyDescent="0.25">
      <c r="A274" s="95" t="s">
        <v>242</v>
      </c>
      <c r="B274" s="95"/>
      <c r="C274" s="95">
        <v>1.5</v>
      </c>
      <c r="D274" s="39">
        <v>1</v>
      </c>
      <c r="E274" s="100"/>
      <c r="F274" s="100"/>
      <c r="G274" s="40" t="s">
        <v>71</v>
      </c>
      <c r="H274" s="110">
        <v>0.157</v>
      </c>
      <c r="I274" s="110">
        <v>0</v>
      </c>
      <c r="J274" s="95"/>
      <c r="K274" s="95"/>
      <c r="L274" s="95" t="str">
        <f t="shared" si="7"/>
        <v>Infiltration Trench31.51Peak Control Standard</v>
      </c>
    </row>
    <row r="275" spans="1:12" x14ac:dyDescent="0.25">
      <c r="A275" s="97" t="s">
        <v>242</v>
      </c>
      <c r="B275" s="97"/>
      <c r="C275" s="97">
        <v>1.5</v>
      </c>
      <c r="D275" s="33">
        <v>2.5</v>
      </c>
      <c r="E275" s="99"/>
      <c r="F275" s="99"/>
      <c r="G275" s="32" t="s">
        <v>71</v>
      </c>
      <c r="H275" s="103">
        <v>8.1000000000000003E-2</v>
      </c>
      <c r="I275" s="103">
        <v>0</v>
      </c>
      <c r="J275" s="97"/>
      <c r="K275" s="97"/>
      <c r="L275" s="97" t="str">
        <f t="shared" si="7"/>
        <v>Infiltration Trench31.52.5Peak Control Standard</v>
      </c>
    </row>
    <row r="276" spans="1:12" x14ac:dyDescent="0.25">
      <c r="A276" s="95" t="s">
        <v>242</v>
      </c>
      <c r="B276" s="95"/>
      <c r="C276" s="95">
        <v>1.5</v>
      </c>
      <c r="D276" s="39">
        <v>1</v>
      </c>
      <c r="E276" s="100"/>
      <c r="F276" s="100"/>
      <c r="G276" s="40" t="s">
        <v>72</v>
      </c>
      <c r="H276" s="110">
        <v>0.05</v>
      </c>
      <c r="I276" s="110">
        <v>0</v>
      </c>
      <c r="J276" s="95"/>
      <c r="K276" s="95"/>
      <c r="L276" s="95" t="str">
        <f t="shared" si="7"/>
        <v>Infiltration Trench31.51Water Quality Treatment</v>
      </c>
    </row>
    <row r="277" spans="1:12" x14ac:dyDescent="0.25">
      <c r="A277" s="97" t="s">
        <v>242</v>
      </c>
      <c r="B277" s="97"/>
      <c r="C277" s="97">
        <v>1.5</v>
      </c>
      <c r="D277" s="33">
        <v>2.5</v>
      </c>
      <c r="E277" s="99"/>
      <c r="F277" s="99"/>
      <c r="G277" s="32" t="s">
        <v>72</v>
      </c>
      <c r="H277" s="103">
        <v>2.1999999999999999E-2</v>
      </c>
      <c r="I277" s="103">
        <v>0</v>
      </c>
      <c r="J277" s="97"/>
      <c r="K277" s="97"/>
      <c r="L277" s="97" t="str">
        <f t="shared" si="7"/>
        <v>Infiltration Trench31.52.5Water Quality Treatment</v>
      </c>
    </row>
    <row r="278" spans="1:12" x14ac:dyDescent="0.25">
      <c r="A278" s="95" t="s">
        <v>242</v>
      </c>
      <c r="C278" s="94">
        <v>3</v>
      </c>
      <c r="D278" s="39">
        <v>1</v>
      </c>
      <c r="E278" s="100">
        <v>0</v>
      </c>
      <c r="F278" s="100">
        <v>2000</v>
      </c>
      <c r="G278" s="40" t="s">
        <v>7</v>
      </c>
      <c r="H278" s="105">
        <v>8.4000000000000005E-2</v>
      </c>
      <c r="I278" s="105">
        <v>0</v>
      </c>
      <c r="L278" s="94" t="str">
        <f t="shared" si="7"/>
        <v>Infiltration Trench33102000Pre-developed Pasture Standard</v>
      </c>
    </row>
    <row r="279" spans="1:12" x14ac:dyDescent="0.25">
      <c r="A279" s="94" t="s">
        <v>242</v>
      </c>
      <c r="C279" s="94">
        <v>3</v>
      </c>
      <c r="D279" s="27">
        <v>1</v>
      </c>
      <c r="E279" s="98">
        <v>2000</v>
      </c>
      <c r="F279" s="98">
        <v>10000</v>
      </c>
      <c r="G279" s="26" t="s">
        <v>7</v>
      </c>
      <c r="H279" s="105">
        <v>5.4199999999999998E-2</v>
      </c>
      <c r="I279" s="105">
        <v>61.4</v>
      </c>
      <c r="L279" s="94" t="str">
        <f t="shared" si="7"/>
        <v>Infiltration Trench331200010000Pre-developed Pasture Standard</v>
      </c>
    </row>
    <row r="280" spans="1:12" x14ac:dyDescent="0.25">
      <c r="A280" s="94" t="s">
        <v>242</v>
      </c>
      <c r="C280" s="94">
        <v>3</v>
      </c>
      <c r="D280" s="27">
        <v>2.5</v>
      </c>
      <c r="E280" s="98">
        <v>0</v>
      </c>
      <c r="F280" s="98">
        <v>2000</v>
      </c>
      <c r="G280" s="26" t="s">
        <v>7</v>
      </c>
      <c r="H280" s="105">
        <v>3.7999999999999999E-2</v>
      </c>
      <c r="I280" s="105">
        <v>0</v>
      </c>
      <c r="L280" s="94" t="str">
        <f t="shared" si="7"/>
        <v>Infiltration Trench332.502000Pre-developed Pasture Standard</v>
      </c>
    </row>
    <row r="281" spans="1:12" x14ac:dyDescent="0.25">
      <c r="A281" s="97" t="s">
        <v>242</v>
      </c>
      <c r="B281" s="97"/>
      <c r="C281" s="97">
        <v>3</v>
      </c>
      <c r="D281" s="33">
        <v>2.5</v>
      </c>
      <c r="E281" s="99">
        <v>2000</v>
      </c>
      <c r="F281" s="99">
        <v>10000</v>
      </c>
      <c r="G281" s="32" t="s">
        <v>7</v>
      </c>
      <c r="H281" s="103">
        <v>2.41E-2</v>
      </c>
      <c r="I281" s="103">
        <v>27.7</v>
      </c>
      <c r="J281" s="97"/>
      <c r="K281" s="97"/>
      <c r="L281" s="97" t="str">
        <f t="shared" si="7"/>
        <v>Infiltration Trench332.5200010000Pre-developed Pasture Standard</v>
      </c>
    </row>
    <row r="282" spans="1:12" x14ac:dyDescent="0.25">
      <c r="A282" s="94" t="s">
        <v>242</v>
      </c>
      <c r="C282" s="94">
        <v>3</v>
      </c>
      <c r="D282" s="27">
        <v>1</v>
      </c>
      <c r="G282" s="26" t="s">
        <v>71</v>
      </c>
      <c r="H282" s="105">
        <v>0.10100000000000001</v>
      </c>
      <c r="I282" s="105">
        <v>0</v>
      </c>
      <c r="L282" s="94" t="str">
        <f t="shared" si="7"/>
        <v>Infiltration Trench331Peak Control Standard</v>
      </c>
    </row>
    <row r="283" spans="1:12" x14ac:dyDescent="0.25">
      <c r="A283" s="97" t="s">
        <v>242</v>
      </c>
      <c r="B283" s="97"/>
      <c r="C283" s="97">
        <v>3</v>
      </c>
      <c r="D283" s="33">
        <v>2.5</v>
      </c>
      <c r="E283" s="99"/>
      <c r="F283" s="99"/>
      <c r="G283" s="32" t="s">
        <v>71</v>
      </c>
      <c r="H283" s="103">
        <v>5.5E-2</v>
      </c>
      <c r="I283" s="103">
        <v>0</v>
      </c>
      <c r="J283" s="97"/>
      <c r="K283" s="97"/>
      <c r="L283" s="97" t="str">
        <f t="shared" si="7"/>
        <v>Infiltration Trench332.5Peak Control Standard</v>
      </c>
    </row>
    <row r="284" spans="1:12" x14ac:dyDescent="0.25">
      <c r="A284" s="94" t="s">
        <v>242</v>
      </c>
      <c r="C284" s="94">
        <v>3</v>
      </c>
      <c r="D284" s="27">
        <v>1</v>
      </c>
      <c r="G284" s="26" t="s">
        <v>72</v>
      </c>
      <c r="H284" s="105">
        <v>3.5000000000000003E-2</v>
      </c>
      <c r="I284" s="105">
        <v>0</v>
      </c>
      <c r="L284" s="94" t="str">
        <f t="shared" si="7"/>
        <v>Infiltration Trench331Water Quality Treatment</v>
      </c>
    </row>
    <row r="285" spans="1:12" x14ac:dyDescent="0.25">
      <c r="A285" s="97" t="s">
        <v>242</v>
      </c>
      <c r="B285" s="97"/>
      <c r="C285" s="97">
        <v>3</v>
      </c>
      <c r="D285" s="33">
        <v>2.5</v>
      </c>
      <c r="E285" s="99"/>
      <c r="F285" s="99"/>
      <c r="G285" s="32" t="s">
        <v>72</v>
      </c>
      <c r="H285" s="103">
        <v>1.6E-2</v>
      </c>
      <c r="I285" s="103">
        <v>0</v>
      </c>
      <c r="J285" s="97"/>
      <c r="K285" s="97"/>
      <c r="L285" s="97" t="str">
        <f t="shared" si="7"/>
        <v>Infiltration Trench332.5Water Quality Treatment</v>
      </c>
    </row>
    <row r="286" spans="1:12" s="95" customFormat="1" x14ac:dyDescent="0.25">
      <c r="D286" s="39"/>
      <c r="E286" s="100"/>
      <c r="F286" s="100"/>
      <c r="G286" s="40"/>
      <c r="H286" s="110"/>
      <c r="I286" s="110"/>
    </row>
    <row r="287" spans="1:12" x14ac:dyDescent="0.25">
      <c r="A287" s="96" t="s">
        <v>144</v>
      </c>
      <c r="B287" s="97"/>
      <c r="C287" s="97"/>
      <c r="D287" s="33"/>
      <c r="E287" s="99"/>
      <c r="F287" s="99"/>
      <c r="G287" s="32"/>
      <c r="H287" s="103"/>
      <c r="I287" s="103"/>
      <c r="J287" s="97"/>
      <c r="K287" s="97"/>
      <c r="L287" s="97"/>
    </row>
    <row r="288" spans="1:12" ht="60" x14ac:dyDescent="0.25">
      <c r="A288" s="34" t="s">
        <v>68</v>
      </c>
      <c r="B288" s="34"/>
      <c r="C288" s="34" t="s">
        <v>84</v>
      </c>
      <c r="D288" s="34" t="s">
        <v>86</v>
      </c>
      <c r="E288" s="44" t="s">
        <v>111</v>
      </c>
      <c r="F288" s="44" t="s">
        <v>112</v>
      </c>
      <c r="G288" s="34" t="s">
        <v>79</v>
      </c>
      <c r="H288" s="34" t="s">
        <v>73</v>
      </c>
      <c r="I288" s="34" t="s">
        <v>74</v>
      </c>
      <c r="J288" s="34" t="s">
        <v>76</v>
      </c>
      <c r="K288" s="34"/>
      <c r="L288" s="34" t="s">
        <v>80</v>
      </c>
    </row>
    <row r="289" spans="1:12" x14ac:dyDescent="0.25">
      <c r="A289" s="94" t="s">
        <v>87</v>
      </c>
      <c r="C289" s="94">
        <v>4</v>
      </c>
      <c r="D289" s="27">
        <v>1</v>
      </c>
      <c r="E289" s="98">
        <v>0</v>
      </c>
      <c r="F289" s="98">
        <v>2000</v>
      </c>
      <c r="G289" s="94" t="s">
        <v>7</v>
      </c>
      <c r="H289" s="105">
        <v>7.0000000000000007E-2</v>
      </c>
      <c r="I289" s="105">
        <v>0</v>
      </c>
      <c r="L289" s="94" t="str">
        <f t="shared" ref="L289:L367" si="8">A289&amp;B289&amp;C289&amp;D289&amp;E289&amp;F289&amp;G289</f>
        <v>Drywell4102000Pre-developed Pasture Standard</v>
      </c>
    </row>
    <row r="290" spans="1:12" x14ac:dyDescent="0.25">
      <c r="A290" s="94" t="s">
        <v>87</v>
      </c>
      <c r="C290" s="94">
        <v>4</v>
      </c>
      <c r="D290" s="27">
        <v>1</v>
      </c>
      <c r="E290" s="98">
        <v>2000</v>
      </c>
      <c r="F290" s="98">
        <v>10000</v>
      </c>
      <c r="G290" s="94" t="s">
        <v>7</v>
      </c>
      <c r="H290" s="105">
        <v>4.6300000000000001E-2</v>
      </c>
      <c r="I290" s="105">
        <v>49.1</v>
      </c>
      <c r="L290" s="94" t="str">
        <f t="shared" si="8"/>
        <v>Drywell41200010000Pre-developed Pasture Standard</v>
      </c>
    </row>
    <row r="291" spans="1:12" x14ac:dyDescent="0.25">
      <c r="A291" s="94" t="s">
        <v>87</v>
      </c>
      <c r="C291" s="94">
        <v>4</v>
      </c>
      <c r="D291" s="27">
        <v>2.5</v>
      </c>
      <c r="E291" s="98">
        <v>0</v>
      </c>
      <c r="F291" s="98">
        <v>2000</v>
      </c>
      <c r="G291" s="94" t="s">
        <v>7</v>
      </c>
      <c r="H291" s="105">
        <v>3.1E-2</v>
      </c>
      <c r="I291" s="105">
        <v>0</v>
      </c>
      <c r="L291" s="94" t="str">
        <f t="shared" si="8"/>
        <v>Drywell42.502000Pre-developed Pasture Standard</v>
      </c>
    </row>
    <row r="292" spans="1:12" x14ac:dyDescent="0.25">
      <c r="A292" s="97" t="s">
        <v>87</v>
      </c>
      <c r="B292" s="97"/>
      <c r="C292" s="97">
        <v>4</v>
      </c>
      <c r="D292" s="33">
        <v>2.5</v>
      </c>
      <c r="E292" s="99">
        <v>2000</v>
      </c>
      <c r="F292" s="99">
        <v>10000</v>
      </c>
      <c r="G292" s="97" t="s">
        <v>7</v>
      </c>
      <c r="H292" s="103">
        <v>2.12E-2</v>
      </c>
      <c r="I292" s="103">
        <v>20.2</v>
      </c>
      <c r="J292" s="97"/>
      <c r="K292" s="97"/>
      <c r="L292" s="97" t="str">
        <f t="shared" si="8"/>
        <v>Drywell42.5200010000Pre-developed Pasture Standard</v>
      </c>
    </row>
    <row r="293" spans="1:12" x14ac:dyDescent="0.25">
      <c r="A293" s="94" t="s">
        <v>87</v>
      </c>
      <c r="C293" s="94">
        <v>4</v>
      </c>
      <c r="D293" s="27">
        <v>1</v>
      </c>
      <c r="G293" s="94" t="s">
        <v>71</v>
      </c>
      <c r="H293" s="105">
        <v>8.8999999999999996E-2</v>
      </c>
      <c r="I293" s="105">
        <v>0</v>
      </c>
      <c r="L293" s="94" t="str">
        <f t="shared" si="8"/>
        <v>Drywell41Peak Control Standard</v>
      </c>
    </row>
    <row r="294" spans="1:12" x14ac:dyDescent="0.25">
      <c r="A294" s="97" t="s">
        <v>87</v>
      </c>
      <c r="B294" s="97"/>
      <c r="C294" s="97">
        <v>4</v>
      </c>
      <c r="D294" s="33">
        <v>2.5</v>
      </c>
      <c r="E294" s="99"/>
      <c r="F294" s="99"/>
      <c r="G294" s="97" t="s">
        <v>71</v>
      </c>
      <c r="H294" s="103">
        <v>4.5999999999999999E-2</v>
      </c>
      <c r="I294" s="103">
        <v>0</v>
      </c>
      <c r="J294" s="97"/>
      <c r="K294" s="97"/>
      <c r="L294" s="97" t="str">
        <f t="shared" si="8"/>
        <v>Drywell42.5Peak Control Standard</v>
      </c>
    </row>
    <row r="295" spans="1:12" x14ac:dyDescent="0.25">
      <c r="A295" s="94" t="s">
        <v>87</v>
      </c>
      <c r="C295" s="94">
        <v>6</v>
      </c>
      <c r="D295" s="27">
        <v>1</v>
      </c>
      <c r="E295" s="98">
        <v>0</v>
      </c>
      <c r="F295" s="98">
        <v>2000</v>
      </c>
      <c r="G295" s="94" t="s">
        <v>7</v>
      </c>
      <c r="H295" s="105">
        <v>4.2999999999999997E-2</v>
      </c>
      <c r="I295" s="105">
        <v>0</v>
      </c>
      <c r="L295" s="94" t="str">
        <f t="shared" si="8"/>
        <v>Drywell6102000Pre-developed Pasture Standard</v>
      </c>
    </row>
    <row r="296" spans="1:12" x14ac:dyDescent="0.25">
      <c r="A296" s="94" t="s">
        <v>87</v>
      </c>
      <c r="C296" s="94">
        <v>6</v>
      </c>
      <c r="D296" s="27">
        <v>1</v>
      </c>
      <c r="E296" s="98">
        <v>2000</v>
      </c>
      <c r="F296" s="98">
        <v>10000</v>
      </c>
      <c r="G296" s="94" t="s">
        <v>7</v>
      </c>
      <c r="H296" s="105">
        <v>3.2000000000000001E-2</v>
      </c>
      <c r="I296" s="105">
        <v>22.5</v>
      </c>
      <c r="L296" s="94" t="str">
        <f t="shared" si="8"/>
        <v>Drywell61200010000Pre-developed Pasture Standard</v>
      </c>
    </row>
    <row r="297" spans="1:12" x14ac:dyDescent="0.25">
      <c r="A297" s="94" t="s">
        <v>87</v>
      </c>
      <c r="C297" s="94">
        <v>6</v>
      </c>
      <c r="D297" s="27">
        <v>2.5</v>
      </c>
      <c r="E297" s="98">
        <v>0</v>
      </c>
      <c r="F297" s="98">
        <v>2000</v>
      </c>
      <c r="G297" s="94" t="s">
        <v>7</v>
      </c>
      <c r="H297" s="105">
        <v>2.1999999999999999E-2</v>
      </c>
      <c r="I297" s="105">
        <v>0</v>
      </c>
      <c r="L297" s="94" t="str">
        <f t="shared" si="8"/>
        <v>Drywell62.502000Pre-developed Pasture Standard</v>
      </c>
    </row>
    <row r="298" spans="1:12" x14ac:dyDescent="0.25">
      <c r="A298" s="97" t="s">
        <v>87</v>
      </c>
      <c r="B298" s="97"/>
      <c r="C298" s="97">
        <v>6</v>
      </c>
      <c r="D298" s="33">
        <v>2.5</v>
      </c>
      <c r="E298" s="99">
        <v>2000</v>
      </c>
      <c r="F298" s="99">
        <v>10000</v>
      </c>
      <c r="G298" s="97" t="s">
        <v>7</v>
      </c>
      <c r="H298" s="103">
        <v>1.72E-2</v>
      </c>
      <c r="I298" s="103">
        <v>10.4</v>
      </c>
      <c r="J298" s="97"/>
      <c r="K298" s="97"/>
      <c r="L298" s="97" t="str">
        <f t="shared" si="8"/>
        <v>Drywell62.5200010000Pre-developed Pasture Standard</v>
      </c>
    </row>
    <row r="299" spans="1:12" x14ac:dyDescent="0.25">
      <c r="A299" s="94" t="s">
        <v>87</v>
      </c>
      <c r="C299" s="94">
        <v>6</v>
      </c>
      <c r="D299" s="27">
        <v>1</v>
      </c>
      <c r="G299" s="94" t="s">
        <v>71</v>
      </c>
      <c r="H299" s="105">
        <v>5.3999999999999999E-2</v>
      </c>
      <c r="I299" s="105">
        <v>0</v>
      </c>
      <c r="L299" s="94" t="str">
        <f t="shared" si="8"/>
        <v>Drywell61Peak Control Standard</v>
      </c>
    </row>
    <row r="300" spans="1:12" x14ac:dyDescent="0.25">
      <c r="A300" s="97" t="s">
        <v>87</v>
      </c>
      <c r="B300" s="97"/>
      <c r="C300" s="97">
        <v>6</v>
      </c>
      <c r="D300" s="33">
        <v>2.5</v>
      </c>
      <c r="E300" s="99"/>
      <c r="F300" s="99"/>
      <c r="G300" s="97" t="s">
        <v>71</v>
      </c>
      <c r="H300" s="103">
        <v>3.3000000000000002E-2</v>
      </c>
      <c r="I300" s="103">
        <v>0</v>
      </c>
      <c r="J300" s="97"/>
      <c r="K300" s="97"/>
      <c r="L300" s="97" t="str">
        <f t="shared" si="8"/>
        <v>Drywell62.5Peak Control Standard</v>
      </c>
    </row>
    <row r="301" spans="1:12" s="95" customFormat="1" x14ac:dyDescent="0.25">
      <c r="D301" s="39"/>
      <c r="E301" s="100"/>
      <c r="F301" s="100"/>
      <c r="G301" s="40"/>
      <c r="H301" s="110"/>
      <c r="I301" s="110"/>
    </row>
    <row r="302" spans="1:12" x14ac:dyDescent="0.25">
      <c r="A302" s="96" t="s">
        <v>145</v>
      </c>
      <c r="B302" s="97"/>
      <c r="C302" s="97"/>
      <c r="D302" s="33"/>
      <c r="E302" s="99"/>
      <c r="F302" s="99"/>
      <c r="G302" s="32"/>
      <c r="H302" s="103"/>
      <c r="I302" s="103"/>
      <c r="J302" s="97"/>
      <c r="K302" s="97"/>
      <c r="L302" s="97"/>
    </row>
    <row r="303" spans="1:12" ht="60" x14ac:dyDescent="0.25">
      <c r="A303" s="34" t="s">
        <v>68</v>
      </c>
      <c r="B303" s="34"/>
      <c r="C303" s="34" t="s">
        <v>89</v>
      </c>
      <c r="D303" s="34" t="s">
        <v>86</v>
      </c>
      <c r="E303" s="44" t="s">
        <v>111</v>
      </c>
      <c r="F303" s="44" t="s">
        <v>112</v>
      </c>
      <c r="G303" s="34" t="s">
        <v>79</v>
      </c>
      <c r="H303" s="34" t="s">
        <v>73</v>
      </c>
      <c r="I303" s="34" t="s">
        <v>74</v>
      </c>
      <c r="J303" s="34" t="s">
        <v>36</v>
      </c>
      <c r="K303" s="34"/>
      <c r="L303" s="34" t="s">
        <v>80</v>
      </c>
    </row>
    <row r="304" spans="1:12" x14ac:dyDescent="0.25">
      <c r="A304" s="94" t="s">
        <v>251</v>
      </c>
      <c r="C304" s="94">
        <v>6</v>
      </c>
      <c r="D304" s="27">
        <v>0.15</v>
      </c>
      <c r="E304" s="98">
        <v>0</v>
      </c>
      <c r="F304" s="98">
        <v>2000</v>
      </c>
      <c r="G304" s="94" t="s">
        <v>7</v>
      </c>
      <c r="H304" s="105">
        <v>1.3260000000000001</v>
      </c>
      <c r="I304" s="105">
        <v>0</v>
      </c>
      <c r="L304" s="94" t="str">
        <f t="shared" si="8"/>
        <v>Permeable Pavement Facility (PPF)360.1502000Pre-developed Pasture Standard</v>
      </c>
    </row>
    <row r="305" spans="1:12" x14ac:dyDescent="0.25">
      <c r="A305" s="94" t="s">
        <v>251</v>
      </c>
      <c r="C305" s="94">
        <v>6</v>
      </c>
      <c r="D305" s="27">
        <v>0.15</v>
      </c>
      <c r="E305" s="98">
        <v>2000</v>
      </c>
      <c r="F305" s="98">
        <v>10000</v>
      </c>
      <c r="G305" s="94" t="s">
        <v>7</v>
      </c>
      <c r="H305" s="105">
        <v>0.48420000000000002</v>
      </c>
      <c r="I305" s="105">
        <v>1651.1</v>
      </c>
      <c r="L305" s="94" t="str">
        <f t="shared" si="8"/>
        <v>Permeable Pavement Facility (PPF)360.15200010000Pre-developed Pasture Standard</v>
      </c>
    </row>
    <row r="306" spans="1:12" x14ac:dyDescent="0.25">
      <c r="A306" s="94" t="s">
        <v>251</v>
      </c>
      <c r="C306" s="94">
        <v>6</v>
      </c>
      <c r="D306" s="27">
        <v>0.3</v>
      </c>
      <c r="E306" s="98">
        <v>0</v>
      </c>
      <c r="F306" s="98">
        <v>2000</v>
      </c>
      <c r="G306" s="94" t="s">
        <v>7</v>
      </c>
      <c r="H306" s="105">
        <v>0.998</v>
      </c>
      <c r="I306" s="105">
        <v>0</v>
      </c>
      <c r="L306" s="94" t="str">
        <f t="shared" si="8"/>
        <v>Permeable Pavement Facility (PPF)360.302000Pre-developed Pasture Standard</v>
      </c>
    </row>
    <row r="307" spans="1:12" x14ac:dyDescent="0.25">
      <c r="A307" s="94" t="s">
        <v>251</v>
      </c>
      <c r="C307" s="94">
        <v>6</v>
      </c>
      <c r="D307" s="27">
        <v>0.3</v>
      </c>
      <c r="E307" s="98">
        <v>2000</v>
      </c>
      <c r="F307" s="98">
        <v>10000</v>
      </c>
      <c r="G307" s="94" t="s">
        <v>7</v>
      </c>
      <c r="H307" s="105">
        <v>0.375</v>
      </c>
      <c r="I307" s="105">
        <v>1223.9000000000001</v>
      </c>
      <c r="L307" s="94" t="str">
        <f t="shared" si="8"/>
        <v>Permeable Pavement Facility (PPF)360.3200010000Pre-developed Pasture Standard</v>
      </c>
    </row>
    <row r="308" spans="1:12" x14ac:dyDescent="0.25">
      <c r="A308" s="94" t="s">
        <v>251</v>
      </c>
      <c r="C308" s="94">
        <v>6</v>
      </c>
      <c r="D308" s="27">
        <v>0.6</v>
      </c>
      <c r="E308" s="98">
        <v>0</v>
      </c>
      <c r="F308" s="98">
        <v>2000</v>
      </c>
      <c r="G308" s="94" t="s">
        <v>7</v>
      </c>
      <c r="H308" s="105">
        <v>0.34100000000000003</v>
      </c>
      <c r="I308" s="105">
        <v>0</v>
      </c>
      <c r="L308" s="94" t="str">
        <f t="shared" si="8"/>
        <v>Permeable Pavement Facility (PPF)360.602000Pre-developed Pasture Standard</v>
      </c>
    </row>
    <row r="309" spans="1:12" x14ac:dyDescent="0.25">
      <c r="A309" s="94" t="s">
        <v>251</v>
      </c>
      <c r="C309" s="94">
        <v>6</v>
      </c>
      <c r="D309" s="27">
        <v>0.6</v>
      </c>
      <c r="E309" s="98">
        <v>2000</v>
      </c>
      <c r="F309" s="98">
        <v>10000</v>
      </c>
      <c r="G309" s="94" t="s">
        <v>7</v>
      </c>
      <c r="H309" s="105">
        <v>0.15679999999999999</v>
      </c>
      <c r="I309" s="105">
        <v>369.4</v>
      </c>
      <c r="L309" s="94" t="str">
        <f t="shared" si="8"/>
        <v>Permeable Pavement Facility (PPF)360.6200010000Pre-developed Pasture Standard</v>
      </c>
    </row>
    <row r="310" spans="1:12" x14ac:dyDescent="0.25">
      <c r="A310" s="94" t="s">
        <v>251</v>
      </c>
      <c r="C310" s="94">
        <v>6</v>
      </c>
      <c r="D310" s="27">
        <v>1</v>
      </c>
      <c r="E310" s="98">
        <v>0</v>
      </c>
      <c r="F310" s="98">
        <v>2000</v>
      </c>
      <c r="G310" s="94" t="s">
        <v>7</v>
      </c>
      <c r="H310" s="105">
        <v>0.29199999999999998</v>
      </c>
      <c r="I310" s="105">
        <v>0</v>
      </c>
      <c r="L310" s="94" t="str">
        <f t="shared" si="8"/>
        <v>Permeable Pavement Facility (PPF)36102000Pre-developed Pasture Standard</v>
      </c>
    </row>
    <row r="311" spans="1:12" x14ac:dyDescent="0.25">
      <c r="A311" s="94" t="s">
        <v>251</v>
      </c>
      <c r="C311" s="94">
        <v>6</v>
      </c>
      <c r="D311" s="27">
        <v>1</v>
      </c>
      <c r="E311" s="98">
        <v>2000</v>
      </c>
      <c r="F311" s="98">
        <v>10000</v>
      </c>
      <c r="G311" s="94" t="s">
        <v>7</v>
      </c>
      <c r="H311" s="105">
        <v>0.13489999999999999</v>
      </c>
      <c r="I311" s="105">
        <v>314.89999999999998</v>
      </c>
      <c r="L311" s="94" t="str">
        <f t="shared" si="8"/>
        <v>Permeable Pavement Facility (PPF)361200010000Pre-developed Pasture Standard</v>
      </c>
    </row>
    <row r="312" spans="1:12" x14ac:dyDescent="0.25">
      <c r="A312" s="94" t="s">
        <v>251</v>
      </c>
      <c r="C312" s="94">
        <v>6</v>
      </c>
      <c r="D312" s="27">
        <v>2.5</v>
      </c>
      <c r="E312" s="98">
        <v>0</v>
      </c>
      <c r="F312" s="98">
        <v>2000</v>
      </c>
      <c r="G312" s="94" t="s">
        <v>7</v>
      </c>
      <c r="H312" s="105">
        <v>0.2</v>
      </c>
      <c r="I312" s="105">
        <v>0</v>
      </c>
      <c r="L312" s="94" t="str">
        <f t="shared" si="8"/>
        <v>Permeable Pavement Facility (PPF)362.502000Pre-developed Pasture Standard</v>
      </c>
    </row>
    <row r="313" spans="1:12" x14ac:dyDescent="0.25">
      <c r="A313" s="97" t="s">
        <v>251</v>
      </c>
      <c r="B313" s="97"/>
      <c r="C313" s="97">
        <v>6</v>
      </c>
      <c r="D313" s="33">
        <v>2.5</v>
      </c>
      <c r="E313" s="99">
        <v>2000</v>
      </c>
      <c r="F313" s="99">
        <v>10000</v>
      </c>
      <c r="G313" s="97" t="s">
        <v>7</v>
      </c>
      <c r="H313" s="103">
        <v>5.2999999999999999E-2</v>
      </c>
      <c r="I313" s="103">
        <v>110.7</v>
      </c>
      <c r="J313" s="97"/>
      <c r="K313" s="97"/>
      <c r="L313" s="97" t="str">
        <f t="shared" si="8"/>
        <v>Permeable Pavement Facility (PPF)362.5200010000Pre-developed Pasture Standard</v>
      </c>
    </row>
    <row r="314" spans="1:12" x14ac:dyDescent="0.25">
      <c r="A314" s="94" t="s">
        <v>251</v>
      </c>
      <c r="C314" s="94">
        <v>6</v>
      </c>
      <c r="D314" s="27">
        <v>0.15</v>
      </c>
      <c r="G314" s="94" t="s">
        <v>71</v>
      </c>
      <c r="H314" s="111">
        <v>3.4209999999999998</v>
      </c>
      <c r="I314" s="105">
        <v>0</v>
      </c>
      <c r="L314" s="94" t="str">
        <f t="shared" si="8"/>
        <v>Permeable Pavement Facility (PPF)360.15Peak Control Standard</v>
      </c>
    </row>
    <row r="315" spans="1:12" x14ac:dyDescent="0.25">
      <c r="A315" s="94" t="s">
        <v>251</v>
      </c>
      <c r="C315" s="94">
        <v>6</v>
      </c>
      <c r="D315" s="27">
        <v>0.3</v>
      </c>
      <c r="G315" s="94" t="s">
        <v>71</v>
      </c>
      <c r="H315" s="111">
        <v>2.4740000000000002</v>
      </c>
      <c r="I315" s="105">
        <v>0</v>
      </c>
      <c r="L315" s="94" t="str">
        <f t="shared" si="8"/>
        <v>Permeable Pavement Facility (PPF)360.3Peak Control Standard</v>
      </c>
    </row>
    <row r="316" spans="1:12" x14ac:dyDescent="0.25">
      <c r="A316" s="94" t="s">
        <v>251</v>
      </c>
      <c r="C316" s="94">
        <v>6</v>
      </c>
      <c r="D316" s="27">
        <v>0.6</v>
      </c>
      <c r="G316" s="94" t="s">
        <v>71</v>
      </c>
      <c r="H316" s="111">
        <v>0.57999999999999996</v>
      </c>
      <c r="I316" s="105">
        <v>0</v>
      </c>
      <c r="L316" s="94" t="str">
        <f t="shared" si="8"/>
        <v>Permeable Pavement Facility (PPF)360.6Peak Control Standard</v>
      </c>
    </row>
    <row r="317" spans="1:12" x14ac:dyDescent="0.25">
      <c r="A317" s="94" t="s">
        <v>251</v>
      </c>
      <c r="C317" s="94">
        <v>6</v>
      </c>
      <c r="D317" s="27">
        <v>1</v>
      </c>
      <c r="G317" s="94" t="s">
        <v>71</v>
      </c>
      <c r="H317" s="111">
        <v>0.50600000000000001</v>
      </c>
      <c r="I317" s="105">
        <v>0</v>
      </c>
      <c r="L317" s="94" t="str">
        <f t="shared" si="8"/>
        <v>Permeable Pavement Facility (PPF)361Peak Control Standard</v>
      </c>
    </row>
    <row r="318" spans="1:12" x14ac:dyDescent="0.25">
      <c r="A318" s="97" t="s">
        <v>251</v>
      </c>
      <c r="B318" s="97"/>
      <c r="C318" s="97">
        <v>6</v>
      </c>
      <c r="D318" s="33">
        <v>2.5</v>
      </c>
      <c r="E318" s="99"/>
      <c r="F318" s="99"/>
      <c r="G318" s="97" t="s">
        <v>71</v>
      </c>
      <c r="H318" s="112">
        <v>0.22700000000000001</v>
      </c>
      <c r="I318" s="103">
        <v>0</v>
      </c>
      <c r="J318" s="97"/>
      <c r="K318" s="97"/>
      <c r="L318" s="97" t="str">
        <f t="shared" si="8"/>
        <v>Permeable Pavement Facility (PPF)362.5Peak Control Standard</v>
      </c>
    </row>
    <row r="319" spans="1:12" x14ac:dyDescent="0.25">
      <c r="A319" s="94" t="s">
        <v>251</v>
      </c>
      <c r="C319" s="94">
        <v>6</v>
      </c>
      <c r="D319" s="27">
        <v>0.15</v>
      </c>
      <c r="G319" s="26" t="s">
        <v>72</v>
      </c>
      <c r="H319" s="105">
        <v>0.26900000000000002</v>
      </c>
      <c r="I319" s="105">
        <v>0</v>
      </c>
      <c r="L319" s="94" t="str">
        <f t="shared" si="8"/>
        <v>Permeable Pavement Facility (PPF)360.15Water Quality Treatment</v>
      </c>
    </row>
    <row r="320" spans="1:12" x14ac:dyDescent="0.25">
      <c r="A320" s="94" t="s">
        <v>251</v>
      </c>
      <c r="C320" s="94">
        <v>6</v>
      </c>
      <c r="D320" s="27">
        <v>0.3</v>
      </c>
      <c r="G320" s="26" t="s">
        <v>72</v>
      </c>
      <c r="H320" s="105">
        <v>0.246</v>
      </c>
      <c r="I320" s="105">
        <v>0</v>
      </c>
      <c r="L320" s="94" t="str">
        <f t="shared" si="8"/>
        <v>Permeable Pavement Facility (PPF)360.3Water Quality Treatment</v>
      </c>
    </row>
    <row r="321" spans="1:12" x14ac:dyDescent="0.25">
      <c r="A321" s="94" t="s">
        <v>251</v>
      </c>
      <c r="C321" s="94">
        <v>6</v>
      </c>
      <c r="D321" s="27">
        <v>0.6</v>
      </c>
      <c r="G321" s="26" t="s">
        <v>72</v>
      </c>
      <c r="H321" s="105">
        <v>0.2</v>
      </c>
      <c r="I321" s="105">
        <v>0</v>
      </c>
      <c r="J321" s="94" t="s">
        <v>90</v>
      </c>
      <c r="L321" s="94" t="str">
        <f t="shared" si="8"/>
        <v>Permeable Pavement Facility (PPF)360.6Water Quality Treatment</v>
      </c>
    </row>
    <row r="322" spans="1:12" x14ac:dyDescent="0.25">
      <c r="A322" s="94" t="s">
        <v>251</v>
      </c>
      <c r="C322" s="94">
        <v>6</v>
      </c>
      <c r="D322" s="27">
        <v>1</v>
      </c>
      <c r="G322" s="26" t="s">
        <v>72</v>
      </c>
      <c r="H322" s="105">
        <v>0.2</v>
      </c>
      <c r="I322" s="105">
        <v>0</v>
      </c>
      <c r="J322" s="94" t="s">
        <v>90</v>
      </c>
      <c r="L322" s="94" t="str">
        <f t="shared" si="8"/>
        <v>Permeable Pavement Facility (PPF)361Water Quality Treatment</v>
      </c>
    </row>
    <row r="323" spans="1:12" x14ac:dyDescent="0.25">
      <c r="A323" s="97" t="s">
        <v>251</v>
      </c>
      <c r="B323" s="97"/>
      <c r="C323" s="97">
        <v>6</v>
      </c>
      <c r="D323" s="33">
        <v>2.5</v>
      </c>
      <c r="E323" s="99"/>
      <c r="F323" s="99"/>
      <c r="G323" s="32" t="s">
        <v>72</v>
      </c>
      <c r="H323" s="103">
        <v>0.2</v>
      </c>
      <c r="I323" s="103">
        <v>0</v>
      </c>
      <c r="J323" s="97" t="s">
        <v>90</v>
      </c>
      <c r="K323" s="97"/>
      <c r="L323" s="97" t="str">
        <f t="shared" si="8"/>
        <v>Permeable Pavement Facility (PPF)362.5Water Quality Treatment</v>
      </c>
    </row>
    <row r="324" spans="1:12" x14ac:dyDescent="0.25">
      <c r="A324" s="94" t="s">
        <v>251</v>
      </c>
      <c r="C324" s="94">
        <v>12</v>
      </c>
      <c r="D324" s="27">
        <v>0.15</v>
      </c>
      <c r="E324" s="98">
        <v>0</v>
      </c>
      <c r="F324" s="98">
        <v>2000</v>
      </c>
      <c r="G324" s="94" t="s">
        <v>7</v>
      </c>
      <c r="H324" s="105">
        <v>0.71399999999999997</v>
      </c>
      <c r="I324" s="105">
        <v>0</v>
      </c>
      <c r="L324" s="94" t="str">
        <f t="shared" si="8"/>
        <v>Permeable Pavement Facility (PPF)3120.1502000Pre-developed Pasture Standard</v>
      </c>
    </row>
    <row r="325" spans="1:12" x14ac:dyDescent="0.25">
      <c r="A325" s="94" t="s">
        <v>251</v>
      </c>
      <c r="C325" s="94">
        <v>12</v>
      </c>
      <c r="D325" s="27">
        <v>0.15</v>
      </c>
      <c r="E325" s="98">
        <v>2000</v>
      </c>
      <c r="F325" s="98">
        <v>10000</v>
      </c>
      <c r="G325" s="94" t="s">
        <v>7</v>
      </c>
      <c r="H325" s="105">
        <v>0.3236</v>
      </c>
      <c r="I325" s="105">
        <v>785.9</v>
      </c>
      <c r="L325" s="94" t="str">
        <f t="shared" si="8"/>
        <v>Permeable Pavement Facility (PPF)3120.15200010000Pre-developed Pasture Standard</v>
      </c>
    </row>
    <row r="326" spans="1:12" x14ac:dyDescent="0.25">
      <c r="A326" s="94" t="s">
        <v>251</v>
      </c>
      <c r="C326" s="94">
        <v>12</v>
      </c>
      <c r="D326" s="27">
        <v>0.3</v>
      </c>
      <c r="E326" s="98">
        <v>0</v>
      </c>
      <c r="F326" s="98">
        <v>2000</v>
      </c>
      <c r="G326" s="94" t="s">
        <v>7</v>
      </c>
      <c r="H326" s="105">
        <v>0.55500000000000005</v>
      </c>
      <c r="I326" s="105">
        <v>0</v>
      </c>
      <c r="L326" s="94" t="str">
        <f t="shared" si="8"/>
        <v>Permeable Pavement Facility (PPF)3120.302000Pre-developed Pasture Standard</v>
      </c>
    </row>
    <row r="327" spans="1:12" x14ac:dyDescent="0.25">
      <c r="A327" s="94" t="s">
        <v>251</v>
      </c>
      <c r="C327" s="94">
        <v>12</v>
      </c>
      <c r="D327" s="27">
        <v>0.3</v>
      </c>
      <c r="E327" s="98">
        <v>2000</v>
      </c>
      <c r="F327" s="98">
        <v>10000</v>
      </c>
      <c r="G327" s="94" t="s">
        <v>7</v>
      </c>
      <c r="H327" s="105">
        <v>0.25729999999999997</v>
      </c>
      <c r="I327" s="105">
        <v>600.29999999999995</v>
      </c>
      <c r="L327" s="94" t="str">
        <f t="shared" si="8"/>
        <v>Permeable Pavement Facility (PPF)3120.3200010000Pre-developed Pasture Standard</v>
      </c>
    </row>
    <row r="328" spans="1:12" x14ac:dyDescent="0.25">
      <c r="A328" s="94" t="s">
        <v>251</v>
      </c>
      <c r="C328" s="94">
        <v>12</v>
      </c>
      <c r="D328" s="27">
        <v>0.6</v>
      </c>
      <c r="E328" s="98">
        <v>0</v>
      </c>
      <c r="F328" s="98">
        <v>2000</v>
      </c>
      <c r="G328" s="94" t="s">
        <v>7</v>
      </c>
      <c r="H328" s="105">
        <v>0.23799999999999999</v>
      </c>
      <c r="I328" s="105">
        <v>0</v>
      </c>
      <c r="L328" s="94" t="str">
        <f t="shared" si="8"/>
        <v>Permeable Pavement Facility (PPF)3120.602000Pre-developed Pasture Standard</v>
      </c>
    </row>
    <row r="329" spans="1:12" x14ac:dyDescent="0.25">
      <c r="A329" s="94" t="s">
        <v>251</v>
      </c>
      <c r="C329" s="94">
        <v>12</v>
      </c>
      <c r="D329" s="27">
        <v>0.6</v>
      </c>
      <c r="E329" s="98">
        <v>2000</v>
      </c>
      <c r="F329" s="98">
        <v>10000</v>
      </c>
      <c r="G329" s="94" t="s">
        <v>7</v>
      </c>
      <c r="H329" s="105">
        <v>0.12470000000000001</v>
      </c>
      <c r="I329" s="105">
        <v>229.2</v>
      </c>
      <c r="L329" s="94" t="str">
        <f t="shared" si="8"/>
        <v>Permeable Pavement Facility (PPF)3120.6200010000Pre-developed Pasture Standard</v>
      </c>
    </row>
    <row r="330" spans="1:12" x14ac:dyDescent="0.25">
      <c r="A330" s="94" t="s">
        <v>251</v>
      </c>
      <c r="C330" s="94">
        <v>12</v>
      </c>
      <c r="D330" s="27">
        <v>1</v>
      </c>
      <c r="E330" s="98">
        <v>0</v>
      </c>
      <c r="F330" s="98">
        <v>2000</v>
      </c>
      <c r="G330" s="94" t="s">
        <v>7</v>
      </c>
      <c r="H330" s="105">
        <v>0.20499999999999999</v>
      </c>
      <c r="I330" s="105">
        <v>0</v>
      </c>
      <c r="L330" s="94" t="str">
        <f t="shared" si="8"/>
        <v>Permeable Pavement Facility (PPF)312102000Pre-developed Pasture Standard</v>
      </c>
    </row>
    <row r="331" spans="1:12" x14ac:dyDescent="0.25">
      <c r="A331" s="94" t="s">
        <v>251</v>
      </c>
      <c r="C331" s="94">
        <v>12</v>
      </c>
      <c r="D331" s="27">
        <v>1</v>
      </c>
      <c r="E331" s="98">
        <v>2000</v>
      </c>
      <c r="F331" s="98">
        <v>10000</v>
      </c>
      <c r="G331" s="94" t="s">
        <v>7</v>
      </c>
      <c r="H331" s="105">
        <v>0.1076</v>
      </c>
      <c r="I331" s="105">
        <v>198.2</v>
      </c>
      <c r="L331" s="94" t="str">
        <f t="shared" si="8"/>
        <v>Permeable Pavement Facility (PPF)3121200010000Pre-developed Pasture Standard</v>
      </c>
    </row>
    <row r="332" spans="1:12" x14ac:dyDescent="0.25">
      <c r="A332" s="94" t="s">
        <v>251</v>
      </c>
      <c r="C332" s="94">
        <v>12</v>
      </c>
      <c r="D332" s="27">
        <v>2.5</v>
      </c>
      <c r="E332" s="98">
        <v>0</v>
      </c>
      <c r="F332" s="98">
        <v>2000</v>
      </c>
      <c r="G332" s="94" t="s">
        <v>7</v>
      </c>
      <c r="H332" s="105">
        <v>0.2</v>
      </c>
      <c r="I332" s="105">
        <v>0</v>
      </c>
      <c r="J332" s="94" t="s">
        <v>90</v>
      </c>
      <c r="L332" s="94" t="str">
        <f t="shared" si="8"/>
        <v>Permeable Pavement Facility (PPF)3122.502000Pre-developed Pasture Standard</v>
      </c>
    </row>
    <row r="333" spans="1:12" x14ac:dyDescent="0.25">
      <c r="A333" s="97" t="s">
        <v>251</v>
      </c>
      <c r="B333" s="97"/>
      <c r="C333" s="97">
        <v>12</v>
      </c>
      <c r="D333" s="33">
        <v>2.5</v>
      </c>
      <c r="E333" s="99">
        <v>2000</v>
      </c>
      <c r="F333" s="99">
        <v>10000</v>
      </c>
      <c r="G333" s="97" t="s">
        <v>7</v>
      </c>
      <c r="H333" s="103">
        <v>4.3499999999999997E-2</v>
      </c>
      <c r="I333" s="103">
        <v>81.7</v>
      </c>
      <c r="J333" s="97"/>
      <c r="K333" s="97"/>
      <c r="L333" s="97" t="str">
        <f t="shared" si="8"/>
        <v>Permeable Pavement Facility (PPF)3122.5200010000Pre-developed Pasture Standard</v>
      </c>
    </row>
    <row r="334" spans="1:12" x14ac:dyDescent="0.25">
      <c r="A334" s="94" t="s">
        <v>251</v>
      </c>
      <c r="C334" s="94">
        <v>12</v>
      </c>
      <c r="D334" s="27">
        <v>0.15</v>
      </c>
      <c r="G334" s="94" t="s">
        <v>71</v>
      </c>
      <c r="H334" s="105">
        <v>1.139</v>
      </c>
      <c r="I334" s="105">
        <v>0</v>
      </c>
      <c r="L334" s="94" t="str">
        <f t="shared" si="8"/>
        <v>Permeable Pavement Facility (PPF)3120.15Peak Control Standard</v>
      </c>
    </row>
    <row r="335" spans="1:12" x14ac:dyDescent="0.25">
      <c r="A335" s="94" t="s">
        <v>251</v>
      </c>
      <c r="C335" s="94">
        <v>12</v>
      </c>
      <c r="D335" s="27">
        <v>0.3</v>
      </c>
      <c r="G335" s="94" t="s">
        <v>71</v>
      </c>
      <c r="H335" s="105">
        <v>0.88100000000000001</v>
      </c>
      <c r="I335" s="105">
        <v>0</v>
      </c>
      <c r="L335" s="94" t="str">
        <f t="shared" si="8"/>
        <v>Permeable Pavement Facility (PPF)3120.3Peak Control Standard</v>
      </c>
    </row>
    <row r="336" spans="1:12" x14ac:dyDescent="0.25">
      <c r="A336" s="94" t="s">
        <v>251</v>
      </c>
      <c r="C336" s="94">
        <v>12</v>
      </c>
      <c r="D336" s="27">
        <v>0.6</v>
      </c>
      <c r="G336" s="94" t="s">
        <v>71</v>
      </c>
      <c r="H336" s="105">
        <v>0.36599999999999999</v>
      </c>
      <c r="I336" s="105">
        <v>0</v>
      </c>
      <c r="L336" s="94" t="str">
        <f t="shared" si="8"/>
        <v>Permeable Pavement Facility (PPF)3120.6Peak Control Standard</v>
      </c>
    </row>
    <row r="337" spans="1:12" x14ac:dyDescent="0.25">
      <c r="A337" s="94" t="s">
        <v>251</v>
      </c>
      <c r="C337" s="94">
        <v>12</v>
      </c>
      <c r="D337" s="27">
        <v>1</v>
      </c>
      <c r="G337" s="94" t="s">
        <v>71</v>
      </c>
      <c r="H337" s="105">
        <v>0.33100000000000002</v>
      </c>
      <c r="I337" s="105">
        <v>0</v>
      </c>
      <c r="L337" s="94" t="str">
        <f t="shared" si="8"/>
        <v>Permeable Pavement Facility (PPF)3121Peak Control Standard</v>
      </c>
    </row>
    <row r="338" spans="1:12" x14ac:dyDescent="0.25">
      <c r="A338" s="97" t="s">
        <v>251</v>
      </c>
      <c r="B338" s="97"/>
      <c r="C338" s="97">
        <v>12</v>
      </c>
      <c r="D338" s="33">
        <v>2.5</v>
      </c>
      <c r="E338" s="99"/>
      <c r="F338" s="99"/>
      <c r="G338" s="97" t="s">
        <v>71</v>
      </c>
      <c r="H338" s="103">
        <v>0.2</v>
      </c>
      <c r="I338" s="103">
        <v>0</v>
      </c>
      <c r="J338" s="97" t="s">
        <v>90</v>
      </c>
      <c r="K338" s="97"/>
      <c r="L338" s="97" t="str">
        <f t="shared" si="8"/>
        <v>Permeable Pavement Facility (PPF)3122.5Peak Control Standard</v>
      </c>
    </row>
    <row r="339" spans="1:12" x14ac:dyDescent="0.25">
      <c r="A339" s="94" t="s">
        <v>251</v>
      </c>
      <c r="C339" s="94">
        <v>12</v>
      </c>
      <c r="D339" s="27">
        <v>0.15</v>
      </c>
      <c r="G339" s="26" t="s">
        <v>72</v>
      </c>
      <c r="H339" s="105">
        <v>0.2</v>
      </c>
      <c r="I339" s="105">
        <v>0</v>
      </c>
      <c r="J339" s="94" t="s">
        <v>90</v>
      </c>
      <c r="L339" s="94" t="str">
        <f t="shared" si="8"/>
        <v>Permeable Pavement Facility (PPF)3120.15Water Quality Treatment</v>
      </c>
    </row>
    <row r="340" spans="1:12" x14ac:dyDescent="0.25">
      <c r="A340" s="94" t="s">
        <v>251</v>
      </c>
      <c r="C340" s="94">
        <v>12</v>
      </c>
      <c r="D340" s="27">
        <v>0.3</v>
      </c>
      <c r="G340" s="26" t="s">
        <v>72</v>
      </c>
      <c r="H340" s="105">
        <v>0.2</v>
      </c>
      <c r="I340" s="105">
        <v>0</v>
      </c>
      <c r="J340" s="94" t="s">
        <v>90</v>
      </c>
      <c r="L340" s="94" t="str">
        <f t="shared" si="8"/>
        <v>Permeable Pavement Facility (PPF)3120.3Water Quality Treatment</v>
      </c>
    </row>
    <row r="341" spans="1:12" x14ac:dyDescent="0.25">
      <c r="A341" s="94" t="s">
        <v>251</v>
      </c>
      <c r="C341" s="94">
        <v>12</v>
      </c>
      <c r="D341" s="27">
        <v>0.6</v>
      </c>
      <c r="G341" s="26" t="s">
        <v>72</v>
      </c>
      <c r="H341" s="105">
        <v>0.2</v>
      </c>
      <c r="I341" s="105">
        <v>0</v>
      </c>
      <c r="J341" s="94" t="s">
        <v>90</v>
      </c>
      <c r="L341" s="94" t="str">
        <f t="shared" si="8"/>
        <v>Permeable Pavement Facility (PPF)3120.6Water Quality Treatment</v>
      </c>
    </row>
    <row r="342" spans="1:12" x14ac:dyDescent="0.25">
      <c r="A342" s="94" t="s">
        <v>251</v>
      </c>
      <c r="C342" s="94">
        <v>12</v>
      </c>
      <c r="D342" s="27">
        <v>1</v>
      </c>
      <c r="G342" s="26" t="s">
        <v>72</v>
      </c>
      <c r="H342" s="105">
        <v>0.2</v>
      </c>
      <c r="I342" s="105">
        <v>0</v>
      </c>
      <c r="J342" s="94" t="s">
        <v>90</v>
      </c>
      <c r="L342" s="94" t="str">
        <f t="shared" si="8"/>
        <v>Permeable Pavement Facility (PPF)3121Water Quality Treatment</v>
      </c>
    </row>
    <row r="343" spans="1:12" x14ac:dyDescent="0.25">
      <c r="A343" s="97" t="s">
        <v>251</v>
      </c>
      <c r="B343" s="97"/>
      <c r="C343" s="97">
        <v>12</v>
      </c>
      <c r="D343" s="33">
        <v>2.5</v>
      </c>
      <c r="E343" s="99"/>
      <c r="F343" s="99"/>
      <c r="G343" s="32" t="s">
        <v>72</v>
      </c>
      <c r="H343" s="103">
        <v>0.2</v>
      </c>
      <c r="I343" s="103">
        <v>0</v>
      </c>
      <c r="J343" s="97" t="s">
        <v>90</v>
      </c>
      <c r="K343" s="97"/>
      <c r="L343" s="97" t="str">
        <f t="shared" si="8"/>
        <v>Permeable Pavement Facility (PPF)3122.5Water Quality Treatment</v>
      </c>
    </row>
    <row r="344" spans="1:12" s="95" customFormat="1" x14ac:dyDescent="0.25">
      <c r="D344" s="39"/>
      <c r="E344" s="100"/>
      <c r="F344" s="100"/>
      <c r="G344" s="40"/>
      <c r="H344" s="110"/>
      <c r="I344" s="110"/>
    </row>
    <row r="345" spans="1:12" x14ac:dyDescent="0.25">
      <c r="A345" s="96" t="s">
        <v>146</v>
      </c>
      <c r="B345" s="97"/>
      <c r="C345" s="97"/>
      <c r="D345" s="33"/>
      <c r="E345" s="99"/>
      <c r="F345" s="99"/>
      <c r="G345" s="32"/>
      <c r="H345" s="103"/>
      <c r="I345" s="103"/>
      <c r="J345" s="97"/>
      <c r="K345" s="97"/>
      <c r="L345" s="97"/>
    </row>
    <row r="346" spans="1:12" x14ac:dyDescent="0.25">
      <c r="A346" s="34" t="s">
        <v>68</v>
      </c>
      <c r="B346" s="34" t="s">
        <v>127</v>
      </c>
      <c r="C346" s="34"/>
      <c r="D346" s="34"/>
      <c r="E346" s="34" t="s">
        <v>94</v>
      </c>
      <c r="F346" s="34"/>
      <c r="G346" s="34" t="s">
        <v>79</v>
      </c>
      <c r="H346" s="34" t="s">
        <v>73</v>
      </c>
      <c r="I346" s="34" t="s">
        <v>74</v>
      </c>
      <c r="J346" s="34" t="s">
        <v>36</v>
      </c>
      <c r="K346" s="34"/>
      <c r="L346" s="34" t="s">
        <v>80</v>
      </c>
    </row>
    <row r="347" spans="1:12" x14ac:dyDescent="0.25">
      <c r="A347" s="94" t="s">
        <v>243</v>
      </c>
      <c r="B347" s="94" t="s">
        <v>130</v>
      </c>
      <c r="E347" s="98" t="s">
        <v>93</v>
      </c>
      <c r="G347" s="94" t="s">
        <v>7</v>
      </c>
      <c r="H347" s="105">
        <v>0.25</v>
      </c>
      <c r="I347" s="105">
        <v>0</v>
      </c>
      <c r="L347" s="94" t="str">
        <f t="shared" si="8"/>
        <v>Permeable Pavement Surface3without check dams&lt;2Pre-developed Pasture Standard</v>
      </c>
    </row>
    <row r="348" spans="1:12" x14ac:dyDescent="0.25">
      <c r="A348" s="97" t="s">
        <v>243</v>
      </c>
      <c r="B348" s="97" t="s">
        <v>130</v>
      </c>
      <c r="C348" s="97"/>
      <c r="D348" s="97"/>
      <c r="E348" s="99" t="s">
        <v>91</v>
      </c>
      <c r="F348" s="99"/>
      <c r="G348" s="97" t="s">
        <v>7</v>
      </c>
      <c r="H348" s="103">
        <v>0</v>
      </c>
      <c r="I348" s="103">
        <v>0</v>
      </c>
      <c r="J348" s="97"/>
      <c r="K348" s="97"/>
      <c r="L348" s="97" t="str">
        <f t="shared" si="8"/>
        <v>Permeable Pavement Surface3without check dams&gt;2Pre-developed Pasture Standard</v>
      </c>
    </row>
    <row r="349" spans="1:12" x14ac:dyDescent="0.25">
      <c r="A349" s="94" t="s">
        <v>243</v>
      </c>
      <c r="B349" s="94" t="s">
        <v>130</v>
      </c>
      <c r="E349" s="98" t="s">
        <v>93</v>
      </c>
      <c r="G349" s="94" t="s">
        <v>71</v>
      </c>
      <c r="H349" s="105">
        <v>7.0000000000000007E-2</v>
      </c>
      <c r="I349" s="105">
        <v>0</v>
      </c>
      <c r="J349" s="94" t="s">
        <v>92</v>
      </c>
      <c r="L349" s="94" t="str">
        <f t="shared" si="8"/>
        <v>Permeable Pavement Surface3without check dams&lt;2Peak Control Standard</v>
      </c>
    </row>
    <row r="350" spans="1:12" x14ac:dyDescent="0.25">
      <c r="A350" s="97" t="s">
        <v>243</v>
      </c>
      <c r="B350" s="97" t="s">
        <v>130</v>
      </c>
      <c r="C350" s="97"/>
      <c r="D350" s="97"/>
      <c r="E350" s="99" t="s">
        <v>91</v>
      </c>
      <c r="F350" s="99"/>
      <c r="G350" s="97" t="s">
        <v>71</v>
      </c>
      <c r="H350" s="103">
        <v>0</v>
      </c>
      <c r="I350" s="103">
        <v>0</v>
      </c>
      <c r="J350" s="97"/>
      <c r="K350" s="97"/>
      <c r="L350" s="97" t="str">
        <f t="shared" si="8"/>
        <v>Permeable Pavement Surface3without check dams&gt;2Peak Control Standard</v>
      </c>
    </row>
    <row r="351" spans="1:12" x14ac:dyDescent="0.25">
      <c r="A351" s="94" t="s">
        <v>243</v>
      </c>
      <c r="B351" s="94" t="s">
        <v>130</v>
      </c>
      <c r="E351" s="98" t="s">
        <v>93</v>
      </c>
      <c r="G351" s="26" t="s">
        <v>72</v>
      </c>
      <c r="H351" s="105">
        <v>0.88</v>
      </c>
      <c r="I351" s="105">
        <v>0</v>
      </c>
      <c r="L351" s="94" t="str">
        <f t="shared" si="8"/>
        <v>Permeable Pavement Surface3without check dams&lt;2Water Quality Treatment</v>
      </c>
    </row>
    <row r="352" spans="1:12" x14ac:dyDescent="0.25">
      <c r="A352" s="97" t="s">
        <v>243</v>
      </c>
      <c r="B352" s="97" t="s">
        <v>130</v>
      </c>
      <c r="C352" s="97"/>
      <c r="D352" s="97"/>
      <c r="E352" s="99" t="s">
        <v>91</v>
      </c>
      <c r="F352" s="99"/>
      <c r="G352" s="32" t="s">
        <v>72</v>
      </c>
      <c r="H352" s="103">
        <v>0.06</v>
      </c>
      <c r="I352" s="103">
        <v>0</v>
      </c>
      <c r="J352" s="97"/>
      <c r="K352" s="97"/>
      <c r="L352" s="97" t="str">
        <f t="shared" si="8"/>
        <v>Permeable Pavement Surface3without check dams&gt;2Water Quality Treatment</v>
      </c>
    </row>
    <row r="353" spans="1:12" x14ac:dyDescent="0.25">
      <c r="A353" s="94" t="s">
        <v>243</v>
      </c>
      <c r="B353" s="95" t="s">
        <v>131</v>
      </c>
      <c r="C353" s="95"/>
      <c r="D353" s="95"/>
      <c r="E353" s="100" t="s">
        <v>93</v>
      </c>
      <c r="F353" s="100"/>
      <c r="G353" s="95" t="s">
        <v>7</v>
      </c>
      <c r="H353" s="110">
        <v>1</v>
      </c>
      <c r="I353" s="110">
        <v>0</v>
      </c>
      <c r="J353" s="95"/>
      <c r="K353" s="95"/>
      <c r="L353" s="95" t="str">
        <f t="shared" si="8"/>
        <v>Permeable Pavement Surface3with check dams&lt;2Pre-developed Pasture Standard</v>
      </c>
    </row>
    <row r="354" spans="1:12" x14ac:dyDescent="0.25">
      <c r="A354" s="97" t="s">
        <v>243</v>
      </c>
      <c r="B354" s="97" t="s">
        <v>131</v>
      </c>
      <c r="C354" s="97"/>
      <c r="D354" s="97"/>
      <c r="E354" s="99" t="s">
        <v>91</v>
      </c>
      <c r="F354" s="99"/>
      <c r="G354" s="97" t="s">
        <v>7</v>
      </c>
      <c r="H354" s="103">
        <v>0.99</v>
      </c>
      <c r="I354" s="103">
        <v>0</v>
      </c>
      <c r="J354" s="97"/>
      <c r="K354" s="97"/>
      <c r="L354" s="97" t="str">
        <f t="shared" si="8"/>
        <v>Permeable Pavement Surface3with check dams&gt;2Pre-developed Pasture Standard</v>
      </c>
    </row>
    <row r="355" spans="1:12" x14ac:dyDescent="0.25">
      <c r="A355" s="94" t="s">
        <v>243</v>
      </c>
      <c r="B355" s="95" t="s">
        <v>131</v>
      </c>
      <c r="C355" s="95"/>
      <c r="D355" s="95"/>
      <c r="E355" s="100" t="s">
        <v>93</v>
      </c>
      <c r="F355" s="100"/>
      <c r="G355" s="95" t="s">
        <v>71</v>
      </c>
      <c r="H355" s="110">
        <v>0.63</v>
      </c>
      <c r="I355" s="110">
        <v>0</v>
      </c>
      <c r="J355" s="95"/>
      <c r="K355" s="95"/>
      <c r="L355" s="95" t="str">
        <f t="shared" si="8"/>
        <v>Permeable Pavement Surface3with check dams&lt;2Peak Control Standard</v>
      </c>
    </row>
    <row r="356" spans="1:12" x14ac:dyDescent="0.25">
      <c r="A356" s="97" t="s">
        <v>243</v>
      </c>
      <c r="B356" s="97" t="s">
        <v>131</v>
      </c>
      <c r="C356" s="97"/>
      <c r="D356" s="97"/>
      <c r="E356" s="99" t="s">
        <v>91</v>
      </c>
      <c r="F356" s="99"/>
      <c r="G356" s="97" t="s">
        <v>71</v>
      </c>
      <c r="H356" s="103">
        <v>0.68</v>
      </c>
      <c r="I356" s="103">
        <v>0</v>
      </c>
      <c r="J356" s="97"/>
      <c r="K356" s="97"/>
      <c r="L356" s="97" t="str">
        <f t="shared" si="8"/>
        <v>Permeable Pavement Surface3with check dams&gt;2Peak Control Standard</v>
      </c>
    </row>
    <row r="357" spans="1:12" x14ac:dyDescent="0.25">
      <c r="A357" s="94" t="s">
        <v>243</v>
      </c>
      <c r="B357" s="94" t="s">
        <v>131</v>
      </c>
      <c r="E357" s="98" t="s">
        <v>93</v>
      </c>
      <c r="G357" s="26" t="s">
        <v>72</v>
      </c>
      <c r="H357" s="105">
        <v>1</v>
      </c>
      <c r="I357" s="105">
        <v>0</v>
      </c>
      <c r="L357" s="94" t="str">
        <f t="shared" si="8"/>
        <v>Permeable Pavement Surface3with check dams&lt;2Water Quality Treatment</v>
      </c>
    </row>
    <row r="358" spans="1:12" x14ac:dyDescent="0.25">
      <c r="A358" s="97" t="s">
        <v>243</v>
      </c>
      <c r="B358" s="94" t="s">
        <v>131</v>
      </c>
      <c r="E358" s="99" t="s">
        <v>91</v>
      </c>
      <c r="G358" s="32" t="s">
        <v>72</v>
      </c>
      <c r="H358" s="105">
        <v>1</v>
      </c>
      <c r="I358" s="105">
        <v>0</v>
      </c>
      <c r="L358" s="94" t="str">
        <f t="shared" si="8"/>
        <v>Permeable Pavement Surface3with check dams&gt;2Water Quality Treatment</v>
      </c>
    </row>
    <row r="359" spans="1:12" s="95" customFormat="1" x14ac:dyDescent="0.25">
      <c r="D359" s="39"/>
      <c r="E359" s="100"/>
      <c r="F359" s="100"/>
      <c r="G359" s="40"/>
      <c r="H359" s="110"/>
      <c r="I359" s="110"/>
    </row>
    <row r="360" spans="1:12" x14ac:dyDescent="0.25">
      <c r="A360" s="96" t="s">
        <v>147</v>
      </c>
      <c r="B360" s="97"/>
      <c r="C360" s="97"/>
      <c r="D360" s="33"/>
      <c r="E360" s="99"/>
      <c r="F360" s="99"/>
      <c r="G360" s="32"/>
      <c r="H360" s="103"/>
      <c r="I360" s="103"/>
      <c r="J360" s="97"/>
      <c r="K360" s="97"/>
      <c r="L360" s="97"/>
    </row>
    <row r="361" spans="1:12" x14ac:dyDescent="0.25">
      <c r="A361" s="34" t="s">
        <v>68</v>
      </c>
      <c r="B361" s="34"/>
      <c r="C361" s="34"/>
      <c r="D361" s="34"/>
      <c r="E361" s="34"/>
      <c r="F361" s="34"/>
      <c r="G361" s="34" t="s">
        <v>79</v>
      </c>
      <c r="H361" s="34" t="s">
        <v>73</v>
      </c>
      <c r="I361" s="34" t="s">
        <v>74</v>
      </c>
      <c r="J361" s="34" t="s">
        <v>36</v>
      </c>
      <c r="K361" s="34"/>
      <c r="L361" s="34" t="s">
        <v>80</v>
      </c>
    </row>
    <row r="362" spans="1:12" x14ac:dyDescent="0.25">
      <c r="A362" s="94" t="s">
        <v>53</v>
      </c>
      <c r="G362" s="98" t="s">
        <v>7</v>
      </c>
      <c r="H362" s="105">
        <v>0.16</v>
      </c>
      <c r="I362" s="105">
        <v>0</v>
      </c>
      <c r="L362" s="94" t="str">
        <f t="shared" si="8"/>
        <v>Vegetated Roof SystemPre-developed Pasture Standard</v>
      </c>
    </row>
    <row r="363" spans="1:12" x14ac:dyDescent="0.25">
      <c r="A363" s="97" t="s">
        <v>53</v>
      </c>
      <c r="B363" s="97"/>
      <c r="C363" s="97"/>
      <c r="D363" s="97"/>
      <c r="E363" s="99"/>
      <c r="F363" s="99"/>
      <c r="G363" s="99" t="s">
        <v>71</v>
      </c>
      <c r="H363" s="103">
        <v>0.8</v>
      </c>
      <c r="I363" s="103">
        <v>0</v>
      </c>
      <c r="J363" s="97"/>
      <c r="K363" s="97"/>
      <c r="L363" s="97" t="str">
        <f t="shared" si="8"/>
        <v>Vegetated Roof SystemPeak Control Standard</v>
      </c>
    </row>
    <row r="364" spans="1:12" x14ac:dyDescent="0.25">
      <c r="G364" s="98"/>
    </row>
    <row r="365" spans="1:12" x14ac:dyDescent="0.25">
      <c r="A365" s="96" t="s">
        <v>148</v>
      </c>
      <c r="B365" s="97"/>
      <c r="C365" s="97"/>
      <c r="D365" s="33"/>
      <c r="E365" s="99"/>
      <c r="F365" s="99"/>
      <c r="G365" s="32"/>
      <c r="H365" s="103"/>
      <c r="I365" s="103"/>
      <c r="J365" s="97"/>
      <c r="K365" s="97"/>
      <c r="L365" s="97"/>
    </row>
    <row r="366" spans="1:12" ht="45" x14ac:dyDescent="0.25">
      <c r="A366" s="34" t="s">
        <v>68</v>
      </c>
      <c r="B366" s="34" t="s">
        <v>55</v>
      </c>
      <c r="C366" s="34" t="s">
        <v>85</v>
      </c>
      <c r="D366" s="34"/>
      <c r="E366" s="44" t="s">
        <v>111</v>
      </c>
      <c r="F366" s="44" t="s">
        <v>112</v>
      </c>
      <c r="G366" s="34" t="s">
        <v>79</v>
      </c>
      <c r="H366" s="34" t="s">
        <v>73</v>
      </c>
      <c r="I366" s="34" t="s">
        <v>74</v>
      </c>
      <c r="J366" s="34" t="s">
        <v>76</v>
      </c>
      <c r="K366" s="34"/>
      <c r="L366" s="34" t="s">
        <v>80</v>
      </c>
    </row>
    <row r="367" spans="1:12" x14ac:dyDescent="0.25">
      <c r="A367" s="95" t="s">
        <v>244</v>
      </c>
      <c r="B367" s="42" t="s">
        <v>57</v>
      </c>
      <c r="C367" s="95">
        <v>2</v>
      </c>
      <c r="D367" s="95"/>
      <c r="E367" s="100">
        <v>0</v>
      </c>
      <c r="F367" s="100">
        <v>2000</v>
      </c>
      <c r="G367" s="95" t="s">
        <v>7</v>
      </c>
      <c r="H367" s="110" t="s">
        <v>70</v>
      </c>
      <c r="I367" s="110"/>
      <c r="J367" s="95" t="s">
        <v>105</v>
      </c>
      <c r="K367" s="95"/>
      <c r="L367" s="95" t="str">
        <f t="shared" si="8"/>
        <v>Non-Infiltrating Bioretention with Underdrain52.5H:1V202000Pre-developed Pasture Standard</v>
      </c>
    </row>
    <row r="368" spans="1:12" x14ac:dyDescent="0.25">
      <c r="A368" s="94" t="s">
        <v>244</v>
      </c>
      <c r="B368" s="29" t="s">
        <v>57</v>
      </c>
      <c r="C368" s="94">
        <v>2</v>
      </c>
      <c r="E368" s="98">
        <v>2000</v>
      </c>
      <c r="F368" s="98">
        <v>10000</v>
      </c>
      <c r="G368" s="94" t="s">
        <v>7</v>
      </c>
      <c r="H368" s="105" t="s">
        <v>70</v>
      </c>
      <c r="J368" s="94" t="s">
        <v>105</v>
      </c>
      <c r="L368" s="94" t="str">
        <f t="shared" ref="L368:L437" si="9">A368&amp;B368&amp;C368&amp;D368&amp;E368&amp;F368&amp;G368</f>
        <v>Non-Infiltrating Bioretention with Underdrain52.5H:1V2200010000Pre-developed Pasture Standard</v>
      </c>
    </row>
    <row r="369" spans="1:12" x14ac:dyDescent="0.25">
      <c r="A369" s="94" t="s">
        <v>244</v>
      </c>
      <c r="B369" s="29" t="s">
        <v>57</v>
      </c>
      <c r="C369" s="94">
        <v>6</v>
      </c>
      <c r="E369" s="98">
        <v>0</v>
      </c>
      <c r="F369" s="98">
        <v>2000</v>
      </c>
      <c r="G369" s="94" t="s">
        <v>7</v>
      </c>
      <c r="H369" s="105" t="s">
        <v>70</v>
      </c>
      <c r="J369" s="94" t="s">
        <v>105</v>
      </c>
      <c r="L369" s="94" t="str">
        <f t="shared" si="9"/>
        <v>Non-Infiltrating Bioretention with Underdrain52.5H:1V602000Pre-developed Pasture Standard</v>
      </c>
    </row>
    <row r="370" spans="1:12" x14ac:dyDescent="0.25">
      <c r="A370" s="94" t="s">
        <v>244</v>
      </c>
      <c r="B370" s="29" t="s">
        <v>57</v>
      </c>
      <c r="C370" s="94">
        <v>6</v>
      </c>
      <c r="E370" s="98">
        <v>2000</v>
      </c>
      <c r="F370" s="98">
        <v>10000</v>
      </c>
      <c r="G370" s="94" t="s">
        <v>7</v>
      </c>
      <c r="H370" s="105" t="s">
        <v>70</v>
      </c>
      <c r="J370" s="94" t="s">
        <v>105</v>
      </c>
      <c r="L370" s="94" t="str">
        <f t="shared" si="9"/>
        <v>Non-Infiltrating Bioretention with Underdrain52.5H:1V6200010000Pre-developed Pasture Standard</v>
      </c>
    </row>
    <row r="371" spans="1:12" x14ac:dyDescent="0.25">
      <c r="A371" s="94" t="s">
        <v>244</v>
      </c>
      <c r="B371" s="29" t="s">
        <v>57</v>
      </c>
      <c r="C371" s="94">
        <v>12</v>
      </c>
      <c r="E371" s="98">
        <v>0</v>
      </c>
      <c r="F371" s="98">
        <v>2700</v>
      </c>
      <c r="G371" s="94" t="s">
        <v>7</v>
      </c>
      <c r="H371" s="105" t="s">
        <v>70</v>
      </c>
      <c r="J371" s="94" t="s">
        <v>105</v>
      </c>
      <c r="L371" s="94" t="str">
        <f t="shared" si="9"/>
        <v>Non-Infiltrating Bioretention with Underdrain52.5H:1V1202700Pre-developed Pasture Standard</v>
      </c>
    </row>
    <row r="372" spans="1:12" x14ac:dyDescent="0.25">
      <c r="A372" s="97" t="s">
        <v>244</v>
      </c>
      <c r="B372" s="30" t="s">
        <v>57</v>
      </c>
      <c r="C372" s="97">
        <v>12</v>
      </c>
      <c r="D372" s="97"/>
      <c r="E372" s="99">
        <v>2700</v>
      </c>
      <c r="F372" s="99">
        <v>10000</v>
      </c>
      <c r="G372" s="97" t="s">
        <v>7</v>
      </c>
      <c r="H372" s="103" t="s">
        <v>70</v>
      </c>
      <c r="I372" s="103"/>
      <c r="J372" s="97" t="s">
        <v>105</v>
      </c>
      <c r="K372" s="97"/>
      <c r="L372" s="97" t="str">
        <f t="shared" si="9"/>
        <v>Non-Infiltrating Bioretention with Underdrain52.5H:1V12270010000Pre-developed Pasture Standard</v>
      </c>
    </row>
    <row r="373" spans="1:12" x14ac:dyDescent="0.25">
      <c r="A373" s="94" t="s">
        <v>244</v>
      </c>
      <c r="B373" s="29" t="s">
        <v>57</v>
      </c>
      <c r="C373" s="94">
        <v>2</v>
      </c>
      <c r="E373" s="100">
        <v>0</v>
      </c>
      <c r="F373" s="100">
        <v>2000</v>
      </c>
      <c r="G373" s="94" t="s">
        <v>71</v>
      </c>
      <c r="H373" s="105" t="s">
        <v>70</v>
      </c>
      <c r="J373" s="94" t="s">
        <v>113</v>
      </c>
      <c r="L373" s="94" t="str">
        <f t="shared" si="9"/>
        <v>Non-Infiltrating Bioretention with Underdrain52.5H:1V202000Peak Control Standard</v>
      </c>
    </row>
    <row r="374" spans="1:12" x14ac:dyDescent="0.25">
      <c r="A374" s="94" t="s">
        <v>244</v>
      </c>
      <c r="B374" s="29" t="s">
        <v>57</v>
      </c>
      <c r="C374" s="94">
        <v>2</v>
      </c>
      <c r="E374" s="98">
        <v>2000</v>
      </c>
      <c r="F374" s="98">
        <v>10000</v>
      </c>
      <c r="G374" s="94" t="s">
        <v>71</v>
      </c>
      <c r="H374" s="105" t="s">
        <v>70</v>
      </c>
      <c r="J374" s="94" t="s">
        <v>113</v>
      </c>
      <c r="L374" s="94" t="str">
        <f t="shared" si="9"/>
        <v>Non-Infiltrating Bioretention with Underdrain52.5H:1V2200010000Peak Control Standard</v>
      </c>
    </row>
    <row r="375" spans="1:12" x14ac:dyDescent="0.25">
      <c r="A375" s="94" t="s">
        <v>244</v>
      </c>
      <c r="B375" s="29" t="s">
        <v>57</v>
      </c>
      <c r="C375" s="94">
        <v>6</v>
      </c>
      <c r="E375" s="98">
        <v>0</v>
      </c>
      <c r="F375" s="98">
        <v>2000</v>
      </c>
      <c r="G375" s="94" t="s">
        <v>71</v>
      </c>
      <c r="H375" s="105" t="s">
        <v>70</v>
      </c>
      <c r="J375" s="94" t="s">
        <v>113</v>
      </c>
      <c r="L375" s="94" t="str">
        <f t="shared" si="9"/>
        <v>Non-Infiltrating Bioretention with Underdrain52.5H:1V602000Peak Control Standard</v>
      </c>
    </row>
    <row r="376" spans="1:12" x14ac:dyDescent="0.25">
      <c r="A376" s="94" t="s">
        <v>244</v>
      </c>
      <c r="B376" s="29" t="s">
        <v>57</v>
      </c>
      <c r="C376" s="94">
        <v>6</v>
      </c>
      <c r="E376" s="98">
        <v>2000</v>
      </c>
      <c r="F376" s="98">
        <v>10000</v>
      </c>
      <c r="G376" s="94" t="s">
        <v>71</v>
      </c>
      <c r="H376" s="105" t="s">
        <v>70</v>
      </c>
      <c r="J376" s="94" t="s">
        <v>113</v>
      </c>
      <c r="L376" s="94" t="str">
        <f t="shared" si="9"/>
        <v>Non-Infiltrating Bioretention with Underdrain52.5H:1V6200010000Peak Control Standard</v>
      </c>
    </row>
    <row r="377" spans="1:12" x14ac:dyDescent="0.25">
      <c r="A377" s="94" t="s">
        <v>244</v>
      </c>
      <c r="B377" s="29" t="s">
        <v>57</v>
      </c>
      <c r="C377" s="94">
        <v>12</v>
      </c>
      <c r="E377" s="98">
        <v>0</v>
      </c>
      <c r="F377" s="98">
        <v>2700</v>
      </c>
      <c r="G377" s="94" t="s">
        <v>71</v>
      </c>
      <c r="H377" s="115">
        <v>0.03</v>
      </c>
      <c r="J377" s="117" t="s">
        <v>153</v>
      </c>
      <c r="L377" s="94" t="str">
        <f t="shared" si="9"/>
        <v>Non-Infiltrating Bioretention with Underdrain52.5H:1V1202700Peak Control Standard</v>
      </c>
    </row>
    <row r="378" spans="1:12" x14ac:dyDescent="0.25">
      <c r="A378" s="97" t="s">
        <v>244</v>
      </c>
      <c r="B378" s="97" t="s">
        <v>57</v>
      </c>
      <c r="C378" s="97">
        <v>12</v>
      </c>
      <c r="D378" s="97"/>
      <c r="E378" s="99">
        <v>2700</v>
      </c>
      <c r="F378" s="99">
        <v>10000</v>
      </c>
      <c r="G378" s="97" t="s">
        <v>71</v>
      </c>
      <c r="H378" s="116">
        <v>0.03</v>
      </c>
      <c r="I378" s="103"/>
      <c r="J378" s="118" t="s">
        <v>153</v>
      </c>
      <c r="K378" s="97"/>
      <c r="L378" s="97" t="str">
        <f t="shared" si="9"/>
        <v>Non-Infiltrating Bioretention with Underdrain52.5H:1V12270010000Peak Control Standard</v>
      </c>
    </row>
    <row r="379" spans="1:12" x14ac:dyDescent="0.25">
      <c r="A379" s="94" t="s">
        <v>244</v>
      </c>
      <c r="B379" s="29" t="s">
        <v>57</v>
      </c>
      <c r="C379" s="94">
        <v>2</v>
      </c>
      <c r="E379" s="100">
        <v>0</v>
      </c>
      <c r="F379" s="100">
        <v>2000</v>
      </c>
      <c r="G379" s="94" t="s">
        <v>72</v>
      </c>
      <c r="H379" s="105">
        <v>1.2999999999999999E-2</v>
      </c>
      <c r="I379" s="105">
        <v>0</v>
      </c>
      <c r="L379" s="94" t="str">
        <f t="shared" si="9"/>
        <v>Non-Infiltrating Bioretention with Underdrain52.5H:1V202000Water Quality Treatment</v>
      </c>
    </row>
    <row r="380" spans="1:12" x14ac:dyDescent="0.25">
      <c r="A380" s="94" t="s">
        <v>244</v>
      </c>
      <c r="B380" s="29" t="s">
        <v>57</v>
      </c>
      <c r="C380" s="94">
        <v>2</v>
      </c>
      <c r="E380" s="98">
        <v>2000</v>
      </c>
      <c r="F380" s="98">
        <v>10000</v>
      </c>
      <c r="G380" s="94" t="s">
        <v>72</v>
      </c>
      <c r="H380" s="105">
        <v>1.2999999999999999E-2</v>
      </c>
      <c r="I380" s="105">
        <v>0</v>
      </c>
      <c r="L380" s="94" t="str">
        <f t="shared" si="9"/>
        <v>Non-Infiltrating Bioretention with Underdrain52.5H:1V2200010000Water Quality Treatment</v>
      </c>
    </row>
    <row r="381" spans="1:12" x14ac:dyDescent="0.25">
      <c r="A381" s="94" t="s">
        <v>244</v>
      </c>
      <c r="B381" s="29" t="s">
        <v>57</v>
      </c>
      <c r="C381" s="94">
        <v>6</v>
      </c>
      <c r="E381" s="98">
        <v>0</v>
      </c>
      <c r="F381" s="98">
        <v>2000</v>
      </c>
      <c r="G381" s="94" t="s">
        <v>72</v>
      </c>
      <c r="H381" s="105">
        <v>5.8999999999999999E-3</v>
      </c>
      <c r="I381" s="105">
        <v>-3.2149999999999999</v>
      </c>
      <c r="L381" s="94" t="str">
        <f t="shared" si="9"/>
        <v>Non-Infiltrating Bioretention with Underdrain52.5H:1V602000Water Quality Treatment</v>
      </c>
    </row>
    <row r="382" spans="1:12" x14ac:dyDescent="0.25">
      <c r="A382" s="94" t="s">
        <v>244</v>
      </c>
      <c r="B382" s="29" t="s">
        <v>57</v>
      </c>
      <c r="C382" s="94">
        <v>6</v>
      </c>
      <c r="E382" s="98">
        <v>2000</v>
      </c>
      <c r="F382" s="98">
        <v>10000</v>
      </c>
      <c r="G382" s="94" t="s">
        <v>72</v>
      </c>
      <c r="H382" s="105">
        <v>9.7000000000000003E-3</v>
      </c>
      <c r="I382" s="105">
        <v>-11.297000000000001</v>
      </c>
      <c r="L382" s="94" t="str">
        <f t="shared" si="9"/>
        <v>Non-Infiltrating Bioretention with Underdrain52.5H:1V6200010000Water Quality Treatment</v>
      </c>
    </row>
    <row r="383" spans="1:12" x14ac:dyDescent="0.25">
      <c r="A383" s="94" t="s">
        <v>244</v>
      </c>
      <c r="B383" s="29" t="s">
        <v>57</v>
      </c>
      <c r="C383" s="94">
        <v>12</v>
      </c>
      <c r="E383" s="98">
        <v>0</v>
      </c>
      <c r="F383" s="98">
        <v>2700</v>
      </c>
      <c r="G383" s="94" t="s">
        <v>72</v>
      </c>
      <c r="H383" s="105">
        <v>4.0000000000000001E-3</v>
      </c>
      <c r="I383" s="105">
        <v>0</v>
      </c>
      <c r="L383" s="94" t="str">
        <f t="shared" si="9"/>
        <v>Non-Infiltrating Bioretention with Underdrain52.5H:1V1202700Water Quality Treatment</v>
      </c>
    </row>
    <row r="384" spans="1:12" x14ac:dyDescent="0.25">
      <c r="A384" s="97" t="s">
        <v>244</v>
      </c>
      <c r="B384" s="97" t="s">
        <v>57</v>
      </c>
      <c r="C384" s="94">
        <v>12</v>
      </c>
      <c r="E384" s="99">
        <v>2700</v>
      </c>
      <c r="F384" s="99">
        <v>10000</v>
      </c>
      <c r="G384" s="94" t="s">
        <v>72</v>
      </c>
      <c r="H384" s="105">
        <v>5.1999999999999998E-3</v>
      </c>
      <c r="I384" s="105">
        <v>-12.092000000000001</v>
      </c>
      <c r="L384" s="94" t="str">
        <f t="shared" si="9"/>
        <v>Non-Infiltrating Bioretention with Underdrain52.5H:1V12270010000Water Quality Treatment</v>
      </c>
    </row>
    <row r="385" spans="1:12" x14ac:dyDescent="0.25">
      <c r="A385" s="95" t="s">
        <v>244</v>
      </c>
      <c r="B385" s="42" t="s">
        <v>56</v>
      </c>
      <c r="C385" s="95">
        <v>2</v>
      </c>
      <c r="D385" s="95"/>
      <c r="E385" s="100">
        <v>0</v>
      </c>
      <c r="F385" s="100">
        <v>2000</v>
      </c>
      <c r="G385" s="95" t="s">
        <v>7</v>
      </c>
      <c r="H385" s="110" t="s">
        <v>70</v>
      </c>
      <c r="I385" s="110"/>
      <c r="J385" s="95" t="s">
        <v>105</v>
      </c>
      <c r="K385" s="95"/>
      <c r="L385" s="95" t="str">
        <f>A385&amp;B385&amp;C385&amp;D385&amp;E385&amp;F385&amp;G385</f>
        <v>Non-Infiltrating Bioretention with Underdrain5Vertical202000Pre-developed Pasture Standard</v>
      </c>
    </row>
    <row r="386" spans="1:12" x14ac:dyDescent="0.25">
      <c r="A386" s="94" t="s">
        <v>244</v>
      </c>
      <c r="B386" s="29" t="s">
        <v>56</v>
      </c>
      <c r="C386" s="94">
        <v>2</v>
      </c>
      <c r="E386" s="98">
        <v>2000</v>
      </c>
      <c r="F386" s="98">
        <v>10000</v>
      </c>
      <c r="G386" s="94" t="s">
        <v>7</v>
      </c>
      <c r="H386" s="105" t="s">
        <v>70</v>
      </c>
      <c r="J386" s="94" t="s">
        <v>105</v>
      </c>
      <c r="L386" s="94" t="str">
        <f>A386&amp;B386&amp;C386&amp;D386&amp;E386&amp;F386&amp;G386</f>
        <v>Non-Infiltrating Bioretention with Underdrain5Vertical2200010000Pre-developed Pasture Standard</v>
      </c>
    </row>
    <row r="387" spans="1:12" x14ac:dyDescent="0.25">
      <c r="A387" s="94" t="s">
        <v>244</v>
      </c>
      <c r="B387" s="29" t="s">
        <v>56</v>
      </c>
      <c r="C387" s="94">
        <v>6</v>
      </c>
      <c r="E387" s="98">
        <v>0</v>
      </c>
      <c r="F387" s="98">
        <v>2000</v>
      </c>
      <c r="G387" s="94" t="s">
        <v>7</v>
      </c>
      <c r="H387" s="105" t="s">
        <v>70</v>
      </c>
      <c r="J387" s="94" t="s">
        <v>105</v>
      </c>
      <c r="L387" s="94" t="str">
        <f t="shared" si="9"/>
        <v>Non-Infiltrating Bioretention with Underdrain5Vertical602000Pre-developed Pasture Standard</v>
      </c>
    </row>
    <row r="388" spans="1:12" x14ac:dyDescent="0.25">
      <c r="A388" s="94" t="s">
        <v>244</v>
      </c>
      <c r="B388" s="29" t="s">
        <v>56</v>
      </c>
      <c r="C388" s="94">
        <v>6</v>
      </c>
      <c r="E388" s="98">
        <v>2000</v>
      </c>
      <c r="F388" s="98">
        <v>10000</v>
      </c>
      <c r="G388" s="94" t="s">
        <v>7</v>
      </c>
      <c r="H388" s="105" t="s">
        <v>70</v>
      </c>
      <c r="J388" s="94" t="s">
        <v>105</v>
      </c>
      <c r="L388" s="94" t="str">
        <f t="shared" si="9"/>
        <v>Non-Infiltrating Bioretention with Underdrain5Vertical6200010000Pre-developed Pasture Standard</v>
      </c>
    </row>
    <row r="389" spans="1:12" x14ac:dyDescent="0.25">
      <c r="A389" s="94" t="s">
        <v>244</v>
      </c>
      <c r="B389" s="29" t="s">
        <v>56</v>
      </c>
      <c r="C389" s="94">
        <v>12</v>
      </c>
      <c r="E389" s="98">
        <v>0</v>
      </c>
      <c r="F389" s="98">
        <v>2700</v>
      </c>
      <c r="G389" s="94" t="s">
        <v>7</v>
      </c>
      <c r="H389" s="105" t="s">
        <v>70</v>
      </c>
      <c r="J389" s="94" t="s">
        <v>105</v>
      </c>
      <c r="L389" s="94" t="str">
        <f t="shared" si="9"/>
        <v>Non-Infiltrating Bioretention with Underdrain5Vertical1202700Pre-developed Pasture Standard</v>
      </c>
    </row>
    <row r="390" spans="1:12" x14ac:dyDescent="0.25">
      <c r="A390" s="97" t="s">
        <v>244</v>
      </c>
      <c r="B390" s="30" t="s">
        <v>56</v>
      </c>
      <c r="C390" s="97">
        <v>12</v>
      </c>
      <c r="D390" s="97"/>
      <c r="E390" s="99">
        <v>2700</v>
      </c>
      <c r="F390" s="99">
        <v>10000</v>
      </c>
      <c r="G390" s="97" t="s">
        <v>7</v>
      </c>
      <c r="H390" s="105" t="s">
        <v>70</v>
      </c>
      <c r="I390" s="103"/>
      <c r="J390" s="97" t="s">
        <v>105</v>
      </c>
      <c r="K390" s="97"/>
      <c r="L390" s="97" t="str">
        <f t="shared" si="9"/>
        <v>Non-Infiltrating Bioretention with Underdrain5Vertical12270010000Pre-developed Pasture Standard</v>
      </c>
    </row>
    <row r="391" spans="1:12" x14ac:dyDescent="0.25">
      <c r="A391" s="95" t="s">
        <v>244</v>
      </c>
      <c r="B391" s="42" t="s">
        <v>56</v>
      </c>
      <c r="C391" s="95">
        <v>2</v>
      </c>
      <c r="D391" s="95"/>
      <c r="E391" s="100">
        <v>0</v>
      </c>
      <c r="F391" s="100">
        <v>2000</v>
      </c>
      <c r="G391" s="95" t="s">
        <v>71</v>
      </c>
      <c r="H391" s="110" t="s">
        <v>70</v>
      </c>
      <c r="I391" s="110"/>
      <c r="J391" s="95" t="s">
        <v>113</v>
      </c>
      <c r="K391" s="95"/>
      <c r="L391" s="95" t="str">
        <f>A391&amp;B391&amp;C391&amp;D391&amp;E391&amp;F391&amp;G391</f>
        <v>Non-Infiltrating Bioretention with Underdrain5Vertical202000Peak Control Standard</v>
      </c>
    </row>
    <row r="392" spans="1:12" x14ac:dyDescent="0.25">
      <c r="A392" s="94" t="s">
        <v>244</v>
      </c>
      <c r="B392" s="29" t="s">
        <v>56</v>
      </c>
      <c r="C392" s="94">
        <v>2</v>
      </c>
      <c r="E392" s="98">
        <v>2000</v>
      </c>
      <c r="F392" s="98">
        <v>10000</v>
      </c>
      <c r="G392" s="94" t="s">
        <v>71</v>
      </c>
      <c r="H392" s="105" t="s">
        <v>70</v>
      </c>
      <c r="J392" s="94" t="s">
        <v>113</v>
      </c>
      <c r="L392" s="94" t="str">
        <f>A392&amp;B392&amp;C392&amp;D392&amp;E392&amp;F392&amp;G392</f>
        <v>Non-Infiltrating Bioretention with Underdrain5Vertical2200010000Peak Control Standard</v>
      </c>
    </row>
    <row r="393" spans="1:12" x14ac:dyDescent="0.25">
      <c r="A393" s="94" t="s">
        <v>244</v>
      </c>
      <c r="B393" s="29" t="s">
        <v>56</v>
      </c>
      <c r="C393" s="94">
        <v>6</v>
      </c>
      <c r="E393" s="98">
        <v>0</v>
      </c>
      <c r="F393" s="98">
        <v>2000</v>
      </c>
      <c r="G393" s="94" t="s">
        <v>71</v>
      </c>
      <c r="H393" s="105" t="s">
        <v>70</v>
      </c>
      <c r="J393" s="94" t="s">
        <v>113</v>
      </c>
      <c r="L393" s="94" t="str">
        <f t="shared" si="9"/>
        <v>Non-Infiltrating Bioretention with Underdrain5Vertical602000Peak Control Standard</v>
      </c>
    </row>
    <row r="394" spans="1:12" x14ac:dyDescent="0.25">
      <c r="A394" s="94" t="s">
        <v>244</v>
      </c>
      <c r="B394" s="29" t="s">
        <v>56</v>
      </c>
      <c r="C394" s="94">
        <v>6</v>
      </c>
      <c r="E394" s="98">
        <v>2000</v>
      </c>
      <c r="F394" s="98">
        <v>10000</v>
      </c>
      <c r="G394" s="94" t="s">
        <v>71</v>
      </c>
      <c r="H394" s="105" t="s">
        <v>70</v>
      </c>
      <c r="J394" s="94" t="s">
        <v>113</v>
      </c>
      <c r="L394" s="94" t="str">
        <f t="shared" si="9"/>
        <v>Non-Infiltrating Bioretention with Underdrain5Vertical6200010000Peak Control Standard</v>
      </c>
    </row>
    <row r="395" spans="1:12" x14ac:dyDescent="0.25">
      <c r="A395" s="94" t="s">
        <v>244</v>
      </c>
      <c r="B395" s="29" t="s">
        <v>56</v>
      </c>
      <c r="C395" s="94">
        <v>12</v>
      </c>
      <c r="E395" s="98">
        <v>0</v>
      </c>
      <c r="F395" s="98">
        <v>2700</v>
      </c>
      <c r="G395" s="94" t="s">
        <v>71</v>
      </c>
      <c r="H395" s="115">
        <v>4.4999999999999998E-2</v>
      </c>
      <c r="J395" s="117" t="s">
        <v>153</v>
      </c>
      <c r="L395" s="94" t="str">
        <f t="shared" si="9"/>
        <v>Non-Infiltrating Bioretention with Underdrain5Vertical1202700Peak Control Standard</v>
      </c>
    </row>
    <row r="396" spans="1:12" x14ac:dyDescent="0.25">
      <c r="A396" s="97" t="s">
        <v>244</v>
      </c>
      <c r="B396" s="30" t="s">
        <v>56</v>
      </c>
      <c r="C396" s="97">
        <v>12</v>
      </c>
      <c r="D396" s="97"/>
      <c r="E396" s="99">
        <v>2700</v>
      </c>
      <c r="F396" s="99">
        <v>10000</v>
      </c>
      <c r="G396" s="97" t="s">
        <v>71</v>
      </c>
      <c r="H396" s="116">
        <v>4.4999999999999998E-2</v>
      </c>
      <c r="I396" s="103"/>
      <c r="J396" s="118" t="s">
        <v>153</v>
      </c>
      <c r="K396" s="97"/>
      <c r="L396" s="97" t="str">
        <f t="shared" si="9"/>
        <v>Non-Infiltrating Bioretention with Underdrain5Vertical12270010000Peak Control Standard</v>
      </c>
    </row>
    <row r="397" spans="1:12" x14ac:dyDescent="0.25">
      <c r="A397" s="95" t="s">
        <v>244</v>
      </c>
      <c r="B397" s="42" t="s">
        <v>56</v>
      </c>
      <c r="C397" s="95">
        <v>2</v>
      </c>
      <c r="D397" s="95"/>
      <c r="E397" s="100">
        <v>0</v>
      </c>
      <c r="F397" s="100">
        <v>2000</v>
      </c>
      <c r="G397" s="95" t="s">
        <v>72</v>
      </c>
      <c r="H397" s="110" t="s">
        <v>70</v>
      </c>
      <c r="I397" s="110"/>
      <c r="J397" s="95"/>
      <c r="K397" s="95"/>
      <c r="L397" s="95" t="str">
        <f t="shared" si="9"/>
        <v>Non-Infiltrating Bioretention with Underdrain5Vertical202000Water Quality Treatment</v>
      </c>
    </row>
    <row r="398" spans="1:12" x14ac:dyDescent="0.25">
      <c r="A398" s="94" t="s">
        <v>244</v>
      </c>
      <c r="B398" s="29" t="s">
        <v>56</v>
      </c>
      <c r="C398" s="94">
        <v>2</v>
      </c>
      <c r="E398" s="98">
        <v>2000</v>
      </c>
      <c r="F398" s="98">
        <v>10000</v>
      </c>
      <c r="G398" s="94" t="s">
        <v>72</v>
      </c>
      <c r="H398" s="105" t="s">
        <v>70</v>
      </c>
      <c r="L398" s="94" t="str">
        <f t="shared" si="9"/>
        <v>Non-Infiltrating Bioretention with Underdrain5Vertical2200010000Water Quality Treatment</v>
      </c>
    </row>
    <row r="399" spans="1:12" x14ac:dyDescent="0.25">
      <c r="A399" s="94" t="s">
        <v>244</v>
      </c>
      <c r="B399" s="29" t="s">
        <v>56</v>
      </c>
      <c r="C399" s="94">
        <v>6</v>
      </c>
      <c r="E399" s="98">
        <v>0</v>
      </c>
      <c r="F399" s="98">
        <v>2000</v>
      </c>
      <c r="G399" s="94" t="s">
        <v>72</v>
      </c>
      <c r="H399" s="105">
        <v>1.2E-2</v>
      </c>
      <c r="L399" s="94" t="str">
        <f t="shared" si="9"/>
        <v>Non-Infiltrating Bioretention with Underdrain5Vertical602000Water Quality Treatment</v>
      </c>
    </row>
    <row r="400" spans="1:12" x14ac:dyDescent="0.25">
      <c r="A400" s="94" t="s">
        <v>244</v>
      </c>
      <c r="B400" s="29" t="s">
        <v>56</v>
      </c>
      <c r="C400" s="94">
        <v>6</v>
      </c>
      <c r="E400" s="98">
        <v>2000</v>
      </c>
      <c r="F400" s="98">
        <v>10000</v>
      </c>
      <c r="G400" s="94" t="s">
        <v>72</v>
      </c>
      <c r="H400" s="105">
        <v>1.2E-2</v>
      </c>
      <c r="L400" s="94" t="str">
        <f t="shared" si="9"/>
        <v>Non-Infiltrating Bioretention with Underdrain5Vertical6200010000Water Quality Treatment</v>
      </c>
    </row>
    <row r="401" spans="1:12" x14ac:dyDescent="0.25">
      <c r="A401" s="94" t="s">
        <v>244</v>
      </c>
      <c r="B401" s="29" t="s">
        <v>56</v>
      </c>
      <c r="C401" s="94">
        <v>12</v>
      </c>
      <c r="E401" s="98">
        <v>0</v>
      </c>
      <c r="F401" s="98">
        <v>2700</v>
      </c>
      <c r="G401" s="94" t="s">
        <v>72</v>
      </c>
      <c r="H401" s="105">
        <v>0.01</v>
      </c>
      <c r="L401" s="94" t="str">
        <f t="shared" si="9"/>
        <v>Non-Infiltrating Bioretention with Underdrain5Vertical1202700Water Quality Treatment</v>
      </c>
    </row>
    <row r="402" spans="1:12" x14ac:dyDescent="0.25">
      <c r="A402" s="97" t="s">
        <v>244</v>
      </c>
      <c r="B402" s="30" t="s">
        <v>56</v>
      </c>
      <c r="C402" s="97">
        <v>12</v>
      </c>
      <c r="D402" s="97"/>
      <c r="E402" s="99">
        <v>2700</v>
      </c>
      <c r="F402" s="99">
        <v>10000</v>
      </c>
      <c r="G402" s="97" t="s">
        <v>72</v>
      </c>
      <c r="H402" s="103">
        <v>0.01</v>
      </c>
      <c r="I402" s="103"/>
      <c r="J402" s="97"/>
      <c r="K402" s="97"/>
      <c r="L402" s="97" t="str">
        <f t="shared" si="9"/>
        <v>Non-Infiltrating Bioretention with Underdrain5Vertical12270010000Water Quality Treatment</v>
      </c>
    </row>
    <row r="403" spans="1:12" x14ac:dyDescent="0.25">
      <c r="B403" s="29"/>
    </row>
    <row r="404" spans="1:12" x14ac:dyDescent="0.25">
      <c r="A404" s="96" t="s">
        <v>156</v>
      </c>
      <c r="B404" s="97"/>
      <c r="C404" s="97"/>
      <c r="D404" s="33"/>
      <c r="E404" s="99"/>
      <c r="F404" s="99"/>
      <c r="G404" s="32"/>
      <c r="H404" s="103"/>
      <c r="I404" s="103"/>
      <c r="J404" s="97"/>
      <c r="K404" s="97"/>
      <c r="L404" s="97"/>
    </row>
    <row r="405" spans="1:12" ht="45" x14ac:dyDescent="0.25">
      <c r="A405" s="34" t="s">
        <v>68</v>
      </c>
      <c r="B405" s="34"/>
      <c r="C405" s="34" t="s">
        <v>85</v>
      </c>
      <c r="D405" s="34"/>
      <c r="E405" s="44" t="s">
        <v>111</v>
      </c>
      <c r="F405" s="44" t="s">
        <v>112</v>
      </c>
      <c r="G405" s="34" t="s">
        <v>79</v>
      </c>
      <c r="H405" s="34" t="s">
        <v>73</v>
      </c>
      <c r="I405" s="34" t="s">
        <v>74</v>
      </c>
      <c r="J405" s="34" t="s">
        <v>76</v>
      </c>
      <c r="K405" s="34"/>
      <c r="L405" s="34" t="s">
        <v>80</v>
      </c>
    </row>
    <row r="406" spans="1:12" x14ac:dyDescent="0.25">
      <c r="A406" s="95" t="s">
        <v>245</v>
      </c>
      <c r="B406" s="42"/>
      <c r="C406" s="95">
        <v>2</v>
      </c>
      <c r="D406" s="95"/>
      <c r="E406" s="100"/>
      <c r="F406" s="100"/>
      <c r="G406" s="95" t="s">
        <v>7</v>
      </c>
      <c r="H406" s="120" t="s">
        <v>70</v>
      </c>
      <c r="I406" s="110"/>
      <c r="J406" s="119" t="s">
        <v>257</v>
      </c>
      <c r="K406" s="95"/>
      <c r="L406" s="95" t="str">
        <f t="shared" ref="L406:L414" si="10">A406&amp;B406&amp;C406&amp;D406&amp;E406&amp;F406&amp;G406</f>
        <v>Non-Infiltrating Soil Cell Bioretention with Underdrain52Pre-developed Pasture Standard</v>
      </c>
    </row>
    <row r="407" spans="1:12" x14ac:dyDescent="0.25">
      <c r="A407" s="94" t="s">
        <v>245</v>
      </c>
      <c r="B407" s="29"/>
      <c r="C407" s="94">
        <v>6</v>
      </c>
      <c r="G407" s="94" t="s">
        <v>7</v>
      </c>
      <c r="H407" s="115" t="s">
        <v>70</v>
      </c>
      <c r="J407" s="117" t="s">
        <v>257</v>
      </c>
      <c r="L407" s="94" t="str">
        <f t="shared" si="10"/>
        <v>Non-Infiltrating Soil Cell Bioretention with Underdrain56Pre-developed Pasture Standard</v>
      </c>
    </row>
    <row r="408" spans="1:12" x14ac:dyDescent="0.25">
      <c r="A408" s="97" t="s">
        <v>245</v>
      </c>
      <c r="B408" s="30"/>
      <c r="C408" s="97">
        <v>12</v>
      </c>
      <c r="D408" s="97"/>
      <c r="E408" s="99"/>
      <c r="F408" s="99"/>
      <c r="G408" s="97" t="s">
        <v>7</v>
      </c>
      <c r="H408" s="116" t="s">
        <v>70</v>
      </c>
      <c r="I408" s="103"/>
      <c r="J408" s="118" t="s">
        <v>257</v>
      </c>
      <c r="K408" s="97"/>
      <c r="L408" s="97" t="str">
        <f t="shared" si="10"/>
        <v>Non-Infiltrating Soil Cell Bioretention with Underdrain512Pre-developed Pasture Standard</v>
      </c>
    </row>
    <row r="409" spans="1:12" x14ac:dyDescent="0.25">
      <c r="A409" s="94" t="s">
        <v>245</v>
      </c>
      <c r="B409" s="29"/>
      <c r="C409" s="94">
        <v>2</v>
      </c>
      <c r="G409" s="94" t="s">
        <v>71</v>
      </c>
      <c r="H409" s="115" t="s">
        <v>70</v>
      </c>
      <c r="J409" s="117" t="s">
        <v>257</v>
      </c>
      <c r="L409" s="94" t="str">
        <f t="shared" si="10"/>
        <v>Non-Infiltrating Soil Cell Bioretention with Underdrain52Peak Control Standard</v>
      </c>
    </row>
    <row r="410" spans="1:12" x14ac:dyDescent="0.25">
      <c r="A410" s="94" t="s">
        <v>245</v>
      </c>
      <c r="B410" s="29"/>
      <c r="C410" s="94">
        <v>6</v>
      </c>
      <c r="G410" s="94" t="s">
        <v>71</v>
      </c>
      <c r="H410" s="115" t="s">
        <v>70</v>
      </c>
      <c r="J410" s="117" t="s">
        <v>257</v>
      </c>
      <c r="L410" s="94" t="str">
        <f t="shared" si="10"/>
        <v>Non-Infiltrating Soil Cell Bioretention with Underdrain56Peak Control Standard</v>
      </c>
    </row>
    <row r="411" spans="1:12" x14ac:dyDescent="0.25">
      <c r="A411" s="97" t="s">
        <v>245</v>
      </c>
      <c r="B411" s="30"/>
      <c r="C411" s="97">
        <v>12</v>
      </c>
      <c r="D411" s="97"/>
      <c r="E411" s="99"/>
      <c r="F411" s="99"/>
      <c r="G411" s="97" t="s">
        <v>71</v>
      </c>
      <c r="H411" s="116">
        <v>0.05</v>
      </c>
      <c r="I411" s="103"/>
      <c r="J411" s="118" t="s">
        <v>249</v>
      </c>
      <c r="K411" s="97"/>
      <c r="L411" s="97" t="str">
        <f t="shared" si="10"/>
        <v>Non-Infiltrating Soil Cell Bioretention with Underdrain512Peak Control Standard</v>
      </c>
    </row>
    <row r="412" spans="1:12" x14ac:dyDescent="0.25">
      <c r="A412" s="94" t="s">
        <v>245</v>
      </c>
      <c r="B412" s="29"/>
      <c r="C412" s="94">
        <v>2</v>
      </c>
      <c r="G412" s="94" t="s">
        <v>72</v>
      </c>
      <c r="H412" s="115">
        <v>1.7999999999999999E-2</v>
      </c>
      <c r="L412" s="94" t="str">
        <f t="shared" si="10"/>
        <v>Non-Infiltrating Soil Cell Bioretention with Underdrain52Water Quality Treatment</v>
      </c>
    </row>
    <row r="413" spans="1:12" x14ac:dyDescent="0.25">
      <c r="A413" s="94" t="s">
        <v>245</v>
      </c>
      <c r="B413" s="29"/>
      <c r="C413" s="94">
        <v>6</v>
      </c>
      <c r="G413" s="94" t="s">
        <v>72</v>
      </c>
      <c r="H413" s="115">
        <v>1.4E-2</v>
      </c>
      <c r="L413" s="94" t="str">
        <f t="shared" si="10"/>
        <v>Non-Infiltrating Soil Cell Bioretention with Underdrain56Water Quality Treatment</v>
      </c>
    </row>
    <row r="414" spans="1:12" x14ac:dyDescent="0.25">
      <c r="A414" s="97" t="s">
        <v>245</v>
      </c>
      <c r="B414" s="30"/>
      <c r="C414" s="97">
        <v>12</v>
      </c>
      <c r="D414" s="97"/>
      <c r="E414" s="99"/>
      <c r="F414" s="99"/>
      <c r="G414" s="97" t="s">
        <v>72</v>
      </c>
      <c r="H414" s="116">
        <v>1.0999999999999999E-2</v>
      </c>
      <c r="I414" s="103"/>
      <c r="J414" s="97"/>
      <c r="K414" s="97"/>
      <c r="L414" s="97" t="str">
        <f t="shared" si="10"/>
        <v>Non-Infiltrating Soil Cell Bioretention with Underdrain512Water Quality Treatment</v>
      </c>
    </row>
    <row r="415" spans="1:12" x14ac:dyDescent="0.25">
      <c r="B415" s="29"/>
    </row>
    <row r="416" spans="1:12" x14ac:dyDescent="0.25">
      <c r="A416" s="96" t="s">
        <v>149</v>
      </c>
      <c r="B416" s="30"/>
      <c r="C416" s="97"/>
      <c r="D416" s="97"/>
      <c r="E416" s="99"/>
      <c r="F416" s="99"/>
      <c r="G416" s="97"/>
      <c r="H416" s="103"/>
      <c r="I416" s="103"/>
      <c r="J416" s="97"/>
      <c r="K416" s="97"/>
      <c r="L416" s="97"/>
    </row>
    <row r="417" spans="1:12" ht="60" x14ac:dyDescent="0.25">
      <c r="A417" s="34" t="s">
        <v>68</v>
      </c>
      <c r="B417" s="97"/>
      <c r="C417" s="97"/>
      <c r="D417" s="34" t="s">
        <v>86</v>
      </c>
      <c r="E417" s="44" t="s">
        <v>111</v>
      </c>
      <c r="F417" s="44" t="s">
        <v>112</v>
      </c>
      <c r="G417" s="34" t="s">
        <v>79</v>
      </c>
      <c r="H417" s="34" t="s">
        <v>73</v>
      </c>
      <c r="I417" s="34" t="s">
        <v>74</v>
      </c>
      <c r="J417" s="34" t="s">
        <v>76</v>
      </c>
      <c r="K417" s="34"/>
      <c r="L417" s="34" t="s">
        <v>80</v>
      </c>
    </row>
    <row r="418" spans="1:12" x14ac:dyDescent="0.25">
      <c r="A418" s="94" t="s">
        <v>28</v>
      </c>
      <c r="D418" s="94">
        <v>0.15</v>
      </c>
      <c r="E418" s="98">
        <v>0</v>
      </c>
      <c r="F418" s="98">
        <v>2000</v>
      </c>
      <c r="G418" s="94" t="s">
        <v>7</v>
      </c>
      <c r="H418" s="105">
        <v>0.13100000000000001</v>
      </c>
      <c r="I418" s="105">
        <v>0</v>
      </c>
      <c r="L418" s="94" t="str">
        <f t="shared" si="9"/>
        <v>Infiltration Chamber0.1502000Pre-developed Pasture Standard</v>
      </c>
    </row>
    <row r="419" spans="1:12" x14ac:dyDescent="0.25">
      <c r="A419" s="94" t="s">
        <v>28</v>
      </c>
      <c r="D419" s="94">
        <v>0.15</v>
      </c>
      <c r="E419" s="98">
        <v>2000</v>
      </c>
      <c r="F419" s="98">
        <v>10000</v>
      </c>
      <c r="G419" s="94" t="s">
        <v>7</v>
      </c>
      <c r="H419" s="105">
        <v>8.7900000000000006E-2</v>
      </c>
      <c r="I419" s="105">
        <v>91.4</v>
      </c>
      <c r="L419" s="94" t="str">
        <f t="shared" si="9"/>
        <v>Infiltration Chamber0.15200010000Pre-developed Pasture Standard</v>
      </c>
    </row>
    <row r="420" spans="1:12" x14ac:dyDescent="0.25">
      <c r="A420" s="94" t="s">
        <v>28</v>
      </c>
      <c r="D420" s="94">
        <v>0.3</v>
      </c>
      <c r="E420" s="98">
        <v>0</v>
      </c>
      <c r="F420" s="98">
        <v>2000</v>
      </c>
      <c r="G420" s="94" t="s">
        <v>7</v>
      </c>
      <c r="H420" s="105">
        <v>0.111</v>
      </c>
      <c r="I420" s="105">
        <v>0</v>
      </c>
      <c r="L420" s="94" t="str">
        <f t="shared" si="9"/>
        <v>Infiltration Chamber0.302000Pre-developed Pasture Standard</v>
      </c>
    </row>
    <row r="421" spans="1:12" x14ac:dyDescent="0.25">
      <c r="A421" s="94" t="s">
        <v>28</v>
      </c>
      <c r="D421" s="94">
        <v>0.3</v>
      </c>
      <c r="E421" s="98">
        <v>2000</v>
      </c>
      <c r="F421" s="98">
        <v>10000</v>
      </c>
      <c r="G421" s="94" t="s">
        <v>7</v>
      </c>
      <c r="H421" s="105">
        <v>7.3300000000000004E-2</v>
      </c>
      <c r="I421" s="105">
        <v>79.900000000000006</v>
      </c>
      <c r="L421" s="94" t="str">
        <f t="shared" si="9"/>
        <v>Infiltration Chamber0.3200010000Pre-developed Pasture Standard</v>
      </c>
    </row>
    <row r="422" spans="1:12" x14ac:dyDescent="0.25">
      <c r="A422" s="94" t="s">
        <v>28</v>
      </c>
      <c r="D422" s="94">
        <v>0.6</v>
      </c>
      <c r="E422" s="98">
        <v>0</v>
      </c>
      <c r="F422" s="98">
        <v>2000</v>
      </c>
      <c r="G422" s="94" t="s">
        <v>7</v>
      </c>
      <c r="H422" s="105">
        <v>7.1999999999999995E-2</v>
      </c>
      <c r="I422" s="105">
        <v>0</v>
      </c>
      <c r="L422" s="94" t="str">
        <f t="shared" si="9"/>
        <v>Infiltration Chamber0.602000Pre-developed Pasture Standard</v>
      </c>
    </row>
    <row r="423" spans="1:12" x14ac:dyDescent="0.25">
      <c r="A423" s="94" t="s">
        <v>28</v>
      </c>
      <c r="D423" s="94">
        <v>0.6</v>
      </c>
      <c r="E423" s="98">
        <v>2000</v>
      </c>
      <c r="F423" s="98">
        <v>10000</v>
      </c>
      <c r="G423" s="94" t="s">
        <v>7</v>
      </c>
      <c r="H423" s="105">
        <v>4.41E-2</v>
      </c>
      <c r="I423" s="105">
        <v>56.8</v>
      </c>
      <c r="L423" s="94" t="str">
        <f t="shared" si="9"/>
        <v>Infiltration Chamber0.6200010000Pre-developed Pasture Standard</v>
      </c>
    </row>
    <row r="424" spans="1:12" x14ac:dyDescent="0.25">
      <c r="A424" s="94" t="s">
        <v>28</v>
      </c>
      <c r="D424" s="94">
        <v>1</v>
      </c>
      <c r="E424" s="98">
        <v>0</v>
      </c>
      <c r="F424" s="98">
        <v>2000</v>
      </c>
      <c r="G424" s="94" t="s">
        <v>7</v>
      </c>
      <c r="H424" s="105">
        <v>6.4000000000000001E-2</v>
      </c>
      <c r="I424" s="105">
        <v>0</v>
      </c>
      <c r="L424" s="94" t="str">
        <f t="shared" si="9"/>
        <v>Infiltration Chamber102000Pre-developed Pasture Standard</v>
      </c>
    </row>
    <row r="425" spans="1:12" x14ac:dyDescent="0.25">
      <c r="A425" s="94" t="s">
        <v>28</v>
      </c>
      <c r="D425" s="94">
        <v>1</v>
      </c>
      <c r="E425" s="98">
        <v>2000</v>
      </c>
      <c r="F425" s="98">
        <v>10000</v>
      </c>
      <c r="G425" s="94" t="s">
        <v>7</v>
      </c>
      <c r="H425" s="105">
        <v>3.9199999999999999E-2</v>
      </c>
      <c r="I425" s="105">
        <v>50.7</v>
      </c>
      <c r="L425" s="94" t="str">
        <f t="shared" si="9"/>
        <v>Infiltration Chamber1200010000Pre-developed Pasture Standard</v>
      </c>
    </row>
    <row r="426" spans="1:12" x14ac:dyDescent="0.25">
      <c r="A426" s="94" t="s">
        <v>28</v>
      </c>
      <c r="D426" s="94">
        <v>2.5</v>
      </c>
      <c r="E426" s="98">
        <v>0</v>
      </c>
      <c r="F426" s="98">
        <v>2000</v>
      </c>
      <c r="G426" s="94" t="s">
        <v>7</v>
      </c>
      <c r="H426" s="105">
        <v>3.4000000000000002E-2</v>
      </c>
      <c r="I426" s="105">
        <v>0</v>
      </c>
      <c r="L426" s="94" t="str">
        <f t="shared" si="9"/>
        <v>Infiltration Chamber2.502000Pre-developed Pasture Standard</v>
      </c>
    </row>
    <row r="427" spans="1:12" x14ac:dyDescent="0.25">
      <c r="A427" s="97" t="s">
        <v>28</v>
      </c>
      <c r="B427" s="97"/>
      <c r="C427" s="97"/>
      <c r="D427" s="97">
        <v>2.5</v>
      </c>
      <c r="E427" s="99">
        <v>2000</v>
      </c>
      <c r="F427" s="99">
        <v>10000</v>
      </c>
      <c r="G427" s="97" t="s">
        <v>7</v>
      </c>
      <c r="H427" s="103">
        <v>2.1000000000000001E-2</v>
      </c>
      <c r="I427" s="103">
        <v>28</v>
      </c>
      <c r="J427" s="97"/>
      <c r="K427" s="97"/>
      <c r="L427" s="97" t="str">
        <f t="shared" si="9"/>
        <v>Infiltration Chamber2.5200010000Pre-developed Pasture Standard</v>
      </c>
    </row>
    <row r="428" spans="1:12" x14ac:dyDescent="0.25">
      <c r="A428" s="94" t="s">
        <v>28</v>
      </c>
      <c r="D428" s="94">
        <v>0.15</v>
      </c>
      <c r="G428" s="94" t="s">
        <v>71</v>
      </c>
      <c r="H428" s="105">
        <v>0.126</v>
      </c>
      <c r="I428" s="105">
        <v>0</v>
      </c>
      <c r="L428" s="94" t="str">
        <f t="shared" si="9"/>
        <v>Infiltration Chamber0.15Peak Control Standard</v>
      </c>
    </row>
    <row r="429" spans="1:12" x14ac:dyDescent="0.25">
      <c r="A429" s="94" t="s">
        <v>28</v>
      </c>
      <c r="D429" s="94">
        <v>0.3</v>
      </c>
      <c r="G429" s="94" t="s">
        <v>71</v>
      </c>
      <c r="H429" s="105">
        <v>0.111</v>
      </c>
      <c r="I429" s="105">
        <v>0</v>
      </c>
      <c r="L429" s="94" t="str">
        <f t="shared" si="9"/>
        <v>Infiltration Chamber0.3Peak Control Standard</v>
      </c>
    </row>
    <row r="430" spans="1:12" x14ac:dyDescent="0.25">
      <c r="A430" s="94" t="s">
        <v>28</v>
      </c>
      <c r="D430" s="94">
        <v>0.6</v>
      </c>
      <c r="G430" s="94" t="s">
        <v>71</v>
      </c>
      <c r="H430" s="105">
        <v>0.08</v>
      </c>
      <c r="I430" s="105">
        <v>0</v>
      </c>
      <c r="L430" s="94" t="str">
        <f t="shared" si="9"/>
        <v>Infiltration Chamber0.6Peak Control Standard</v>
      </c>
    </row>
    <row r="431" spans="1:12" x14ac:dyDescent="0.25">
      <c r="A431" s="94" t="s">
        <v>28</v>
      </c>
      <c r="D431" s="94">
        <v>1</v>
      </c>
      <c r="G431" s="94" t="s">
        <v>71</v>
      </c>
      <c r="H431" s="105">
        <v>7.1999999999999995E-2</v>
      </c>
      <c r="I431" s="105">
        <v>0</v>
      </c>
      <c r="L431" s="94" t="str">
        <f t="shared" si="9"/>
        <v>Infiltration Chamber1Peak Control Standard</v>
      </c>
    </row>
    <row r="432" spans="1:12" x14ac:dyDescent="0.25">
      <c r="A432" s="97" t="s">
        <v>28</v>
      </c>
      <c r="B432" s="97"/>
      <c r="C432" s="97"/>
      <c r="D432" s="97">
        <v>2.5</v>
      </c>
      <c r="E432" s="99"/>
      <c r="F432" s="99"/>
      <c r="G432" s="97" t="s">
        <v>71</v>
      </c>
      <c r="H432" s="103">
        <v>4.2999999999999997E-2</v>
      </c>
      <c r="I432" s="103">
        <v>0</v>
      </c>
      <c r="J432" s="97"/>
      <c r="K432" s="97"/>
      <c r="L432" s="97" t="str">
        <f t="shared" si="9"/>
        <v>Infiltration Chamber2.5Peak Control Standard</v>
      </c>
    </row>
    <row r="433" spans="1:13" x14ac:dyDescent="0.25">
      <c r="A433" s="94" t="s">
        <v>28</v>
      </c>
      <c r="D433" s="94">
        <v>0.15</v>
      </c>
      <c r="G433" s="94" t="s">
        <v>72</v>
      </c>
      <c r="H433" s="105">
        <v>6.2E-2</v>
      </c>
      <c r="I433" s="105">
        <v>0</v>
      </c>
      <c r="L433" s="94" t="str">
        <f t="shared" si="9"/>
        <v>Infiltration Chamber0.15Water Quality Treatment</v>
      </c>
    </row>
    <row r="434" spans="1:13" x14ac:dyDescent="0.25">
      <c r="A434" s="94" t="s">
        <v>28</v>
      </c>
      <c r="D434" s="94">
        <v>0.3</v>
      </c>
      <c r="G434" s="94" t="s">
        <v>72</v>
      </c>
      <c r="H434" s="105">
        <v>5.0999999999999997E-2</v>
      </c>
      <c r="I434" s="105">
        <v>0</v>
      </c>
      <c r="L434" s="94" t="str">
        <f t="shared" si="9"/>
        <v>Infiltration Chamber0.3Water Quality Treatment</v>
      </c>
    </row>
    <row r="435" spans="1:13" x14ac:dyDescent="0.25">
      <c r="A435" s="94" t="s">
        <v>28</v>
      </c>
      <c r="D435" s="94">
        <v>0.6</v>
      </c>
      <c r="G435" s="94" t="s">
        <v>72</v>
      </c>
      <c r="H435" s="105">
        <v>0.03</v>
      </c>
      <c r="I435" s="105">
        <v>0</v>
      </c>
      <c r="L435" s="94" t="str">
        <f t="shared" si="9"/>
        <v>Infiltration Chamber0.6Water Quality Treatment</v>
      </c>
    </row>
    <row r="436" spans="1:13" x14ac:dyDescent="0.25">
      <c r="A436" s="94" t="s">
        <v>28</v>
      </c>
      <c r="D436" s="94">
        <v>1</v>
      </c>
      <c r="G436" s="94" t="s">
        <v>72</v>
      </c>
      <c r="H436" s="105">
        <v>2.5999999999999999E-2</v>
      </c>
      <c r="I436" s="105">
        <v>0</v>
      </c>
      <c r="L436" s="94" t="str">
        <f t="shared" si="9"/>
        <v>Infiltration Chamber1Water Quality Treatment</v>
      </c>
    </row>
    <row r="437" spans="1:13" x14ac:dyDescent="0.25">
      <c r="A437" s="97" t="s">
        <v>28</v>
      </c>
      <c r="B437" s="97"/>
      <c r="C437" s="97"/>
      <c r="D437" s="97">
        <v>2.5</v>
      </c>
      <c r="E437" s="99"/>
      <c r="F437" s="99"/>
      <c r="G437" s="97" t="s">
        <v>72</v>
      </c>
      <c r="H437" s="103">
        <v>1.4E-2</v>
      </c>
      <c r="I437" s="103">
        <v>0</v>
      </c>
      <c r="J437" s="97"/>
      <c r="K437" s="97"/>
      <c r="L437" s="97" t="str">
        <f t="shared" si="9"/>
        <v>Infiltration Chamber2.5Water Quality Treatment</v>
      </c>
    </row>
    <row r="439" spans="1:13" x14ac:dyDescent="0.25">
      <c r="A439" s="96" t="s">
        <v>150</v>
      </c>
      <c r="B439" s="97"/>
      <c r="C439" s="97"/>
      <c r="D439" s="97"/>
      <c r="E439" s="99"/>
      <c r="F439" s="99"/>
      <c r="G439" s="97"/>
      <c r="H439" s="103"/>
      <c r="I439" s="103"/>
      <c r="J439" s="97"/>
      <c r="K439" s="97"/>
      <c r="L439" s="97"/>
    </row>
    <row r="440" spans="1:13" ht="66.75" customHeight="1" x14ac:dyDescent="0.25">
      <c r="A440" s="44" t="s">
        <v>68</v>
      </c>
      <c r="B440" s="113"/>
      <c r="C440" s="44" t="s">
        <v>95</v>
      </c>
      <c r="D440" s="101"/>
      <c r="E440" s="44" t="s">
        <v>111</v>
      </c>
      <c r="F440" s="44" t="s">
        <v>112</v>
      </c>
      <c r="G440" s="44" t="s">
        <v>79</v>
      </c>
      <c r="H440" s="44" t="s">
        <v>73</v>
      </c>
      <c r="I440" s="44" t="s">
        <v>96</v>
      </c>
      <c r="J440" s="44" t="s">
        <v>76</v>
      </c>
      <c r="K440" s="34" t="s">
        <v>129</v>
      </c>
      <c r="L440" s="44" t="s">
        <v>80</v>
      </c>
      <c r="M440" s="67"/>
    </row>
    <row r="441" spans="1:13" x14ac:dyDescent="0.25">
      <c r="A441" s="95" t="s">
        <v>32</v>
      </c>
      <c r="B441" s="95"/>
      <c r="C441" s="95">
        <v>24</v>
      </c>
      <c r="D441" s="95"/>
      <c r="E441" s="100">
        <v>2000</v>
      </c>
      <c r="F441" s="100">
        <v>5000</v>
      </c>
      <c r="G441" s="94" t="s">
        <v>7</v>
      </c>
      <c r="H441" s="110">
        <v>5.7099999999999998E-2</v>
      </c>
      <c r="I441" s="110">
        <v>49.5</v>
      </c>
      <c r="J441" s="95" t="s">
        <v>107</v>
      </c>
      <c r="K441" s="110">
        <v>0.5</v>
      </c>
      <c r="L441" s="95" t="str">
        <f>A441&amp;B441&amp;C441&amp;D441&amp;E441&amp;F441&amp;G441</f>
        <v>Detention Pipe2420005000Pre-developed Pasture Standard</v>
      </c>
      <c r="M441" s="67"/>
    </row>
    <row r="442" spans="1:13" x14ac:dyDescent="0.25">
      <c r="A442" s="97" t="s">
        <v>32</v>
      </c>
      <c r="B442" s="97"/>
      <c r="C442" s="97">
        <v>24</v>
      </c>
      <c r="D442" s="97"/>
      <c r="E442" s="99">
        <v>5000</v>
      </c>
      <c r="F442" s="99">
        <v>10000</v>
      </c>
      <c r="G442" s="97" t="s">
        <v>7</v>
      </c>
      <c r="H442" s="103">
        <v>5.7099999999999998E-2</v>
      </c>
      <c r="I442" s="103">
        <v>49.5</v>
      </c>
      <c r="J442" s="97" t="s">
        <v>107</v>
      </c>
      <c r="K442" s="103">
        <v>0.5</v>
      </c>
      <c r="L442" s="97" t="str">
        <f t="shared" ref="L442:L452" si="11">A442&amp;B442&amp;C442&amp;D442&amp;E442&amp;F442&amp;G442</f>
        <v>Detention Pipe24500010000Pre-developed Pasture Standard</v>
      </c>
      <c r="M442" s="67"/>
    </row>
    <row r="443" spans="1:13" x14ac:dyDescent="0.25">
      <c r="A443" s="94" t="s">
        <v>32</v>
      </c>
      <c r="C443" s="94">
        <v>24</v>
      </c>
      <c r="E443" s="98">
        <v>2000</v>
      </c>
      <c r="F443" s="98">
        <v>6000</v>
      </c>
      <c r="G443" s="94" t="s">
        <v>71</v>
      </c>
      <c r="H443" s="105">
        <v>4.7500000000000001E-2</v>
      </c>
      <c r="I443" s="105">
        <v>27</v>
      </c>
      <c r="J443" s="94" t="s">
        <v>107</v>
      </c>
      <c r="K443" s="105">
        <v>0.5</v>
      </c>
      <c r="L443" s="94" t="str">
        <f t="shared" si="11"/>
        <v>Detention Pipe2420006000Peak Control Standard</v>
      </c>
      <c r="M443" s="67"/>
    </row>
    <row r="444" spans="1:13" x14ac:dyDescent="0.25">
      <c r="A444" s="94" t="s">
        <v>32</v>
      </c>
      <c r="C444" s="94">
        <v>24</v>
      </c>
      <c r="E444" s="98">
        <v>6000</v>
      </c>
      <c r="F444" s="98">
        <v>7000</v>
      </c>
      <c r="G444" s="94" t="s">
        <v>71</v>
      </c>
      <c r="H444" s="105">
        <v>4.7500000000000001E-2</v>
      </c>
      <c r="I444" s="105">
        <v>27</v>
      </c>
      <c r="J444" s="94" t="s">
        <v>107</v>
      </c>
      <c r="K444" s="105">
        <v>0.625</v>
      </c>
      <c r="L444" s="94" t="str">
        <f t="shared" si="11"/>
        <v>Detention Pipe2460007000Peak Control Standard</v>
      </c>
      <c r="M444" s="67"/>
    </row>
    <row r="445" spans="1:13" x14ac:dyDescent="0.25">
      <c r="A445" s="94" t="s">
        <v>32</v>
      </c>
      <c r="C445" s="94">
        <v>24</v>
      </c>
      <c r="E445" s="98">
        <v>7000</v>
      </c>
      <c r="F445" s="98">
        <v>8500</v>
      </c>
      <c r="G445" s="94" t="s">
        <v>71</v>
      </c>
      <c r="H445" s="105">
        <v>4.7500000000000001E-2</v>
      </c>
      <c r="I445" s="105">
        <v>27</v>
      </c>
      <c r="J445" s="94" t="s">
        <v>107</v>
      </c>
      <c r="K445" s="105">
        <v>0.625</v>
      </c>
      <c r="L445" s="94" t="str">
        <f t="shared" si="11"/>
        <v>Detention Pipe2470008500Peak Control Standard</v>
      </c>
      <c r="M445" s="67"/>
    </row>
    <row r="446" spans="1:13" x14ac:dyDescent="0.25">
      <c r="A446" s="97" t="s">
        <v>32</v>
      </c>
      <c r="B446" s="97"/>
      <c r="C446" s="97">
        <v>24</v>
      </c>
      <c r="D446" s="97"/>
      <c r="E446" s="99">
        <v>8500</v>
      </c>
      <c r="F446" s="99">
        <v>10000</v>
      </c>
      <c r="G446" s="97" t="s">
        <v>71</v>
      </c>
      <c r="H446" s="103">
        <v>4.7500000000000001E-2</v>
      </c>
      <c r="I446" s="103">
        <v>27</v>
      </c>
      <c r="J446" s="97" t="s">
        <v>107</v>
      </c>
      <c r="K446" s="103">
        <v>0.75</v>
      </c>
      <c r="L446" s="97" t="str">
        <f t="shared" si="11"/>
        <v>Detention Pipe24850010000Peak Control Standard</v>
      </c>
      <c r="M446" s="67"/>
    </row>
    <row r="447" spans="1:13" x14ac:dyDescent="0.25">
      <c r="A447" s="94" t="s">
        <v>32</v>
      </c>
      <c r="C447" s="94">
        <v>36</v>
      </c>
      <c r="E447" s="98">
        <v>2000</v>
      </c>
      <c r="F447" s="98">
        <v>5000</v>
      </c>
      <c r="G447" s="94" t="s">
        <v>7</v>
      </c>
      <c r="H447" s="110">
        <v>2.5700000000000001E-2</v>
      </c>
      <c r="I447" s="110">
        <v>21.84</v>
      </c>
      <c r="J447" s="94" t="s">
        <v>107</v>
      </c>
      <c r="K447" s="105">
        <v>0.5</v>
      </c>
      <c r="L447" s="94" t="str">
        <f t="shared" si="11"/>
        <v>Detention Pipe3620005000Pre-developed Pasture Standard</v>
      </c>
      <c r="M447" s="67"/>
    </row>
    <row r="448" spans="1:13" x14ac:dyDescent="0.25">
      <c r="A448" s="97" t="s">
        <v>32</v>
      </c>
      <c r="B448" s="97"/>
      <c r="C448" s="97">
        <v>36</v>
      </c>
      <c r="D448" s="97"/>
      <c r="E448" s="99">
        <v>5000</v>
      </c>
      <c r="F448" s="99">
        <v>10000</v>
      </c>
      <c r="G448" s="97" t="s">
        <v>7</v>
      </c>
      <c r="H448" s="103">
        <v>2.5700000000000001E-2</v>
      </c>
      <c r="I448" s="103">
        <v>21.84</v>
      </c>
      <c r="J448" s="97" t="s">
        <v>107</v>
      </c>
      <c r="K448" s="103">
        <v>0.5</v>
      </c>
      <c r="L448" s="97" t="str">
        <f t="shared" si="11"/>
        <v>Detention Pipe36500010000Pre-developed Pasture Standard</v>
      </c>
      <c r="M448" s="67"/>
    </row>
    <row r="449" spans="1:13" x14ac:dyDescent="0.25">
      <c r="A449" s="94" t="s">
        <v>32</v>
      </c>
      <c r="C449" s="94">
        <v>36</v>
      </c>
      <c r="E449" s="98">
        <v>2000</v>
      </c>
      <c r="F449" s="98">
        <v>6000</v>
      </c>
      <c r="G449" s="94" t="s">
        <v>71</v>
      </c>
      <c r="H449" s="105">
        <v>2.3599999999999999E-2</v>
      </c>
      <c r="I449" s="105">
        <v>6.75</v>
      </c>
      <c r="J449" s="94" t="s">
        <v>107</v>
      </c>
      <c r="K449" s="105">
        <v>0.5</v>
      </c>
      <c r="L449" s="94" t="str">
        <f t="shared" si="11"/>
        <v>Detention Pipe3620006000Peak Control Standard</v>
      </c>
      <c r="M449" s="67"/>
    </row>
    <row r="450" spans="1:13" x14ac:dyDescent="0.25">
      <c r="A450" s="94" t="s">
        <v>32</v>
      </c>
      <c r="C450" s="94">
        <v>36</v>
      </c>
      <c r="E450" s="98">
        <v>6000</v>
      </c>
      <c r="F450" s="98">
        <v>7000</v>
      </c>
      <c r="G450" s="94" t="s">
        <v>71</v>
      </c>
      <c r="H450" s="105">
        <v>2.3599999999999999E-2</v>
      </c>
      <c r="I450" s="105">
        <v>6.75</v>
      </c>
      <c r="J450" s="94" t="s">
        <v>107</v>
      </c>
      <c r="K450" s="105">
        <v>0.5</v>
      </c>
      <c r="L450" s="94" t="str">
        <f t="shared" si="11"/>
        <v>Detention Pipe3660007000Peak Control Standard</v>
      </c>
    </row>
    <row r="451" spans="1:13" x14ac:dyDescent="0.25">
      <c r="A451" s="94" t="s">
        <v>32</v>
      </c>
      <c r="C451" s="94">
        <v>36</v>
      </c>
      <c r="E451" s="98">
        <v>7000</v>
      </c>
      <c r="F451" s="98">
        <v>8500</v>
      </c>
      <c r="G451" s="94" t="s">
        <v>71</v>
      </c>
      <c r="H451" s="105">
        <v>2.3599999999999999E-2</v>
      </c>
      <c r="I451" s="105">
        <v>6.75</v>
      </c>
      <c r="J451" s="94" t="s">
        <v>107</v>
      </c>
      <c r="K451" s="105">
        <v>0.625</v>
      </c>
      <c r="L451" s="94" t="str">
        <f t="shared" si="11"/>
        <v>Detention Pipe3670008500Peak Control Standard</v>
      </c>
    </row>
    <row r="452" spans="1:13" x14ac:dyDescent="0.25">
      <c r="A452" s="97" t="s">
        <v>32</v>
      </c>
      <c r="B452" s="97"/>
      <c r="C452" s="97">
        <v>36</v>
      </c>
      <c r="D452" s="97"/>
      <c r="E452" s="99">
        <v>8500</v>
      </c>
      <c r="F452" s="99">
        <v>10000</v>
      </c>
      <c r="G452" s="97" t="s">
        <v>71</v>
      </c>
      <c r="H452" s="103">
        <v>2.3599999999999999E-2</v>
      </c>
      <c r="I452" s="103">
        <v>6.75</v>
      </c>
      <c r="J452" s="97" t="s">
        <v>107</v>
      </c>
      <c r="K452" s="103">
        <v>0.625</v>
      </c>
      <c r="L452" s="97" t="str">
        <f t="shared" si="11"/>
        <v>Detention Pipe36850010000Peak Control Standard</v>
      </c>
    </row>
    <row r="454" spans="1:13" x14ac:dyDescent="0.25">
      <c r="A454" s="102" t="s">
        <v>151</v>
      </c>
    </row>
    <row r="455" spans="1:13" ht="45" x14ac:dyDescent="0.25">
      <c r="A455" s="44" t="s">
        <v>68</v>
      </c>
      <c r="B455" s="113"/>
      <c r="C455" s="44" t="s">
        <v>98</v>
      </c>
      <c r="D455" s="113"/>
      <c r="E455" s="44" t="s">
        <v>111</v>
      </c>
      <c r="F455" s="44" t="s">
        <v>112</v>
      </c>
      <c r="G455" s="44" t="s">
        <v>79</v>
      </c>
      <c r="H455" s="44" t="s">
        <v>73</v>
      </c>
      <c r="I455" s="44" t="s">
        <v>96</v>
      </c>
      <c r="J455" s="44" t="s">
        <v>76</v>
      </c>
      <c r="K455" s="34" t="s">
        <v>129</v>
      </c>
      <c r="L455" s="44" t="s">
        <v>80</v>
      </c>
    </row>
    <row r="456" spans="1:13" x14ac:dyDescent="0.25">
      <c r="A456" s="95" t="s">
        <v>33</v>
      </c>
      <c r="B456" s="95"/>
      <c r="C456" s="95">
        <v>3</v>
      </c>
      <c r="D456" s="95"/>
      <c r="E456" s="100">
        <v>2000</v>
      </c>
      <c r="F456" s="100">
        <v>5000</v>
      </c>
      <c r="G456" s="95" t="s">
        <v>7</v>
      </c>
      <c r="H456" s="110">
        <v>6.6199999999999995E-2</v>
      </c>
      <c r="I456" s="110">
        <v>38.9</v>
      </c>
      <c r="J456" s="95" t="s">
        <v>107</v>
      </c>
      <c r="K456" s="114">
        <v>0.5</v>
      </c>
      <c r="L456" s="95" t="str">
        <f t="shared" ref="L456:L465" si="12">A456&amp;B456&amp;C456&amp;D456&amp;E456&amp;F456&amp;G456</f>
        <v>Detention Vault320005000Pre-developed Pasture Standard</v>
      </c>
    </row>
    <row r="457" spans="1:13" x14ac:dyDescent="0.25">
      <c r="A457" s="97" t="s">
        <v>33</v>
      </c>
      <c r="B457" s="97"/>
      <c r="C457" s="97">
        <v>3</v>
      </c>
      <c r="D457" s="97"/>
      <c r="E457" s="99">
        <v>5000</v>
      </c>
      <c r="F457" s="99">
        <v>10000</v>
      </c>
      <c r="G457" s="97" t="s">
        <v>7</v>
      </c>
      <c r="H457" s="103">
        <v>6.6199999999999995E-2</v>
      </c>
      <c r="I457" s="103">
        <v>38.9</v>
      </c>
      <c r="J457" s="97" t="s">
        <v>107</v>
      </c>
      <c r="K457" s="103">
        <v>0.5</v>
      </c>
      <c r="L457" s="97" t="str">
        <f t="shared" si="12"/>
        <v>Detention Vault3500010000Pre-developed Pasture Standard</v>
      </c>
    </row>
    <row r="458" spans="1:13" x14ac:dyDescent="0.25">
      <c r="A458" s="94" t="s">
        <v>33</v>
      </c>
      <c r="C458" s="94">
        <v>3</v>
      </c>
      <c r="E458" s="98">
        <v>2000</v>
      </c>
      <c r="F458" s="98">
        <v>7500</v>
      </c>
      <c r="G458" s="94" t="s">
        <v>71</v>
      </c>
      <c r="H458" s="105">
        <v>5.2499999999999998E-2</v>
      </c>
      <c r="I458" s="105">
        <v>27.25</v>
      </c>
      <c r="J458" s="94" t="s">
        <v>107</v>
      </c>
      <c r="K458" s="105">
        <v>0.5</v>
      </c>
      <c r="L458" s="94" t="str">
        <f t="shared" si="12"/>
        <v>Detention Vault320007500Peak Control Standard</v>
      </c>
    </row>
    <row r="459" spans="1:13" x14ac:dyDescent="0.25">
      <c r="A459" s="94" t="s">
        <v>33</v>
      </c>
      <c r="C459" s="94">
        <v>3</v>
      </c>
      <c r="E459" s="98">
        <v>7500</v>
      </c>
      <c r="F459" s="98">
        <v>8000</v>
      </c>
      <c r="G459" s="94" t="s">
        <v>71</v>
      </c>
      <c r="H459" s="105">
        <v>5.2499999999999998E-2</v>
      </c>
      <c r="I459" s="105">
        <v>27.25</v>
      </c>
      <c r="J459" s="94" t="s">
        <v>107</v>
      </c>
      <c r="K459" s="105">
        <v>0.625</v>
      </c>
      <c r="L459" s="94" t="str">
        <f t="shared" si="12"/>
        <v>Detention Vault375008000Peak Control Standard</v>
      </c>
    </row>
    <row r="460" spans="1:13" x14ac:dyDescent="0.25">
      <c r="A460" s="97" t="s">
        <v>33</v>
      </c>
      <c r="B460" s="97"/>
      <c r="C460" s="97">
        <v>3</v>
      </c>
      <c r="D460" s="97"/>
      <c r="E460" s="99">
        <v>8000</v>
      </c>
      <c r="F460" s="99">
        <v>10000</v>
      </c>
      <c r="G460" s="97" t="s">
        <v>71</v>
      </c>
      <c r="H460" s="103">
        <v>5.2499999999999998E-2</v>
      </c>
      <c r="I460" s="103">
        <v>27.25</v>
      </c>
      <c r="J460" s="97" t="s">
        <v>107</v>
      </c>
      <c r="K460" s="103">
        <v>0.625</v>
      </c>
      <c r="L460" s="97" t="str">
        <f t="shared" si="12"/>
        <v>Detention Vault3800010000Peak Control Standard</v>
      </c>
    </row>
    <row r="461" spans="1:13" x14ac:dyDescent="0.25">
      <c r="A461" s="95" t="s">
        <v>33</v>
      </c>
      <c r="B461" s="95"/>
      <c r="C461" s="95">
        <v>4</v>
      </c>
      <c r="D461" s="95"/>
      <c r="E461" s="100">
        <v>2000</v>
      </c>
      <c r="F461" s="100">
        <v>5000</v>
      </c>
      <c r="G461" s="95" t="s">
        <v>7</v>
      </c>
      <c r="H461" s="110" t="e">
        <f>NA()</f>
        <v>#N/A</v>
      </c>
      <c r="I461" s="110" t="e">
        <f>NA()</f>
        <v>#N/A</v>
      </c>
      <c r="J461" s="95" t="s">
        <v>120</v>
      </c>
      <c r="K461" s="114" t="s">
        <v>70</v>
      </c>
      <c r="L461" s="95" t="str">
        <f t="shared" si="12"/>
        <v>Detention Vault420005000Pre-developed Pasture Standard</v>
      </c>
    </row>
    <row r="462" spans="1:13" x14ac:dyDescent="0.25">
      <c r="A462" s="97" t="s">
        <v>33</v>
      </c>
      <c r="B462" s="97"/>
      <c r="C462" s="97">
        <v>4</v>
      </c>
      <c r="D462" s="97"/>
      <c r="E462" s="99">
        <v>5000</v>
      </c>
      <c r="F462" s="99">
        <v>10000</v>
      </c>
      <c r="G462" s="97" t="s">
        <v>7</v>
      </c>
      <c r="H462" s="103" t="e">
        <f>NA()</f>
        <v>#N/A</v>
      </c>
      <c r="I462" s="103" t="e">
        <f>NA()</f>
        <v>#N/A</v>
      </c>
      <c r="J462" s="97" t="s">
        <v>120</v>
      </c>
      <c r="K462" s="112" t="s">
        <v>70</v>
      </c>
      <c r="L462" s="97" t="str">
        <f t="shared" si="12"/>
        <v>Detention Vault4500010000Pre-developed Pasture Standard</v>
      </c>
    </row>
    <row r="463" spans="1:13" x14ac:dyDescent="0.25">
      <c r="A463" s="94" t="s">
        <v>33</v>
      </c>
      <c r="C463" s="94">
        <v>4</v>
      </c>
      <c r="E463" s="98">
        <v>2000</v>
      </c>
      <c r="F463" s="98">
        <v>7500</v>
      </c>
      <c r="G463" s="94" t="s">
        <v>71</v>
      </c>
      <c r="H463" s="105">
        <v>3.6499999999999998E-2</v>
      </c>
      <c r="I463" s="105">
        <v>19.16</v>
      </c>
      <c r="J463" s="94" t="s">
        <v>107</v>
      </c>
      <c r="K463" s="111">
        <v>0.5</v>
      </c>
      <c r="L463" s="94" t="str">
        <f t="shared" si="12"/>
        <v>Detention Vault420007500Peak Control Standard</v>
      </c>
    </row>
    <row r="464" spans="1:13" x14ac:dyDescent="0.25">
      <c r="A464" s="94" t="s">
        <v>33</v>
      </c>
      <c r="C464" s="94">
        <v>4</v>
      </c>
      <c r="E464" s="98">
        <v>7500</v>
      </c>
      <c r="F464" s="98">
        <v>8000</v>
      </c>
      <c r="G464" s="94" t="s">
        <v>71</v>
      </c>
      <c r="H464" s="105">
        <v>3.6499999999999998E-2</v>
      </c>
      <c r="I464" s="105">
        <v>19.16</v>
      </c>
      <c r="J464" s="94" t="s">
        <v>107</v>
      </c>
      <c r="K464" s="111">
        <v>0.5</v>
      </c>
      <c r="L464" s="94" t="str">
        <f t="shared" si="12"/>
        <v>Detention Vault475008000Peak Control Standard</v>
      </c>
    </row>
    <row r="465" spans="1:12" x14ac:dyDescent="0.25">
      <c r="A465" s="97" t="s">
        <v>33</v>
      </c>
      <c r="B465" s="97"/>
      <c r="C465" s="97">
        <v>4</v>
      </c>
      <c r="D465" s="97"/>
      <c r="E465" s="99">
        <v>8000</v>
      </c>
      <c r="F465" s="99">
        <v>10000</v>
      </c>
      <c r="G465" s="97" t="s">
        <v>71</v>
      </c>
      <c r="H465" s="103">
        <v>3.6499999999999998E-2</v>
      </c>
      <c r="I465" s="103">
        <v>19.16</v>
      </c>
      <c r="J465" s="97" t="s">
        <v>107</v>
      </c>
      <c r="K465" s="112">
        <v>0.625</v>
      </c>
      <c r="L465" s="94" t="str">
        <f t="shared" si="12"/>
        <v>Detention Vault4800010000Peak Control Standard</v>
      </c>
    </row>
    <row r="467" spans="1:12" x14ac:dyDescent="0.25">
      <c r="A467" s="102" t="s">
        <v>152</v>
      </c>
    </row>
    <row r="468" spans="1:12" ht="45" x14ac:dyDescent="0.25">
      <c r="A468" s="44" t="s">
        <v>68</v>
      </c>
      <c r="B468" s="113"/>
      <c r="C468" s="44" t="s">
        <v>98</v>
      </c>
      <c r="D468" s="113"/>
      <c r="E468" s="44" t="s">
        <v>111</v>
      </c>
      <c r="F468" s="44" t="s">
        <v>112</v>
      </c>
      <c r="G468" s="44" t="s">
        <v>79</v>
      </c>
      <c r="H468" s="44" t="s">
        <v>73</v>
      </c>
      <c r="I468" s="44" t="s">
        <v>96</v>
      </c>
      <c r="J468" s="44" t="s">
        <v>76</v>
      </c>
      <c r="K468" s="34" t="s">
        <v>129</v>
      </c>
      <c r="L468" s="44" t="s">
        <v>80</v>
      </c>
    </row>
    <row r="469" spans="1:12" x14ac:dyDescent="0.25">
      <c r="A469" s="95" t="s">
        <v>34</v>
      </c>
      <c r="B469" s="95"/>
      <c r="C469" s="95">
        <v>3</v>
      </c>
      <c r="D469" s="95"/>
      <c r="E469" s="100">
        <v>0</v>
      </c>
      <c r="F469" s="100">
        <v>3500</v>
      </c>
      <c r="G469" s="95" t="s">
        <v>7</v>
      </c>
      <c r="H469" s="110">
        <v>0.106</v>
      </c>
      <c r="I469" s="110">
        <v>0</v>
      </c>
      <c r="J469" s="95" t="s">
        <v>107</v>
      </c>
      <c r="K469" s="110">
        <v>0.25</v>
      </c>
      <c r="L469" s="95" t="str">
        <f t="shared" ref="L469:L484" si="13">A469&amp;B469&amp;C469&amp;D469&amp;E469&amp;F469&amp;G469</f>
        <v>Detention Cistern303500Pre-developed Pasture Standard</v>
      </c>
    </row>
    <row r="470" spans="1:12" x14ac:dyDescent="0.25">
      <c r="A470" s="94" t="s">
        <v>34</v>
      </c>
      <c r="C470" s="94">
        <v>3</v>
      </c>
      <c r="E470" s="98">
        <v>3500</v>
      </c>
      <c r="F470" s="98">
        <v>5000</v>
      </c>
      <c r="G470" s="94" t="s">
        <v>7</v>
      </c>
      <c r="H470" s="105">
        <v>0</v>
      </c>
      <c r="I470" s="105">
        <v>408</v>
      </c>
      <c r="J470" s="94" t="s">
        <v>107</v>
      </c>
      <c r="K470" s="105">
        <v>0.25</v>
      </c>
      <c r="L470" s="94" t="str">
        <f t="shared" si="13"/>
        <v>Detention Cistern335005000Pre-developed Pasture Standard</v>
      </c>
    </row>
    <row r="471" spans="1:12" x14ac:dyDescent="0.25">
      <c r="A471" s="94" t="s">
        <v>34</v>
      </c>
      <c r="C471" s="94">
        <v>3</v>
      </c>
      <c r="E471" s="98">
        <v>5000</v>
      </c>
      <c r="F471" s="98">
        <v>6000</v>
      </c>
      <c r="G471" s="94" t="s">
        <v>7</v>
      </c>
      <c r="H471" s="105">
        <v>1.4999999999999999E-4</v>
      </c>
      <c r="I471" s="105">
        <v>1.74</v>
      </c>
      <c r="J471" s="94" t="s">
        <v>106</v>
      </c>
      <c r="K471" s="105">
        <v>0.25</v>
      </c>
      <c r="L471" s="94" t="str">
        <f t="shared" si="13"/>
        <v>Detention Cistern350006000Pre-developed Pasture Standard</v>
      </c>
    </row>
    <row r="472" spans="1:12" x14ac:dyDescent="0.25">
      <c r="A472" s="97" t="s">
        <v>34</v>
      </c>
      <c r="B472" s="97"/>
      <c r="C472" s="97">
        <v>3</v>
      </c>
      <c r="D472" s="97"/>
      <c r="E472" s="99">
        <v>6000</v>
      </c>
      <c r="F472" s="99">
        <v>10000</v>
      </c>
      <c r="G472" s="97" t="s">
        <v>7</v>
      </c>
      <c r="H472" s="103">
        <v>1.4999999999999999E-4</v>
      </c>
      <c r="I472" s="103">
        <v>1.74</v>
      </c>
      <c r="J472" s="97" t="s">
        <v>106</v>
      </c>
      <c r="K472" s="103">
        <v>0.25</v>
      </c>
      <c r="L472" s="97" t="str">
        <f t="shared" si="13"/>
        <v>Detention Cistern3600010000Pre-developed Pasture Standard</v>
      </c>
    </row>
    <row r="473" spans="1:12" x14ac:dyDescent="0.25">
      <c r="A473" s="94" t="s">
        <v>34</v>
      </c>
      <c r="C473" s="94">
        <v>3</v>
      </c>
      <c r="E473" s="98">
        <v>0</v>
      </c>
      <c r="F473" s="98">
        <v>3500</v>
      </c>
      <c r="G473" s="98" t="s">
        <v>71</v>
      </c>
      <c r="H473" s="105">
        <v>5.5199999999999999E-2</v>
      </c>
      <c r="I473" s="105">
        <v>-2.3435000000000001</v>
      </c>
      <c r="J473" s="94" t="s">
        <v>107</v>
      </c>
      <c r="K473" s="105">
        <v>0.25</v>
      </c>
      <c r="L473" s="94" t="str">
        <f t="shared" si="13"/>
        <v>Detention Cistern303500Peak Control Standard</v>
      </c>
    </row>
    <row r="474" spans="1:12" x14ac:dyDescent="0.25">
      <c r="A474" s="94" t="s">
        <v>34</v>
      </c>
      <c r="C474" s="94">
        <v>3</v>
      </c>
      <c r="E474" s="98">
        <v>3500</v>
      </c>
      <c r="F474" s="98">
        <v>5000</v>
      </c>
      <c r="G474" s="98" t="s">
        <v>71</v>
      </c>
      <c r="H474" s="105">
        <v>5.5199999999999999E-2</v>
      </c>
      <c r="I474" s="105">
        <v>-2.3435000000000001</v>
      </c>
      <c r="J474" s="94" t="s">
        <v>107</v>
      </c>
      <c r="K474" s="105">
        <v>0.375</v>
      </c>
      <c r="L474" s="94" t="str">
        <f t="shared" si="13"/>
        <v>Detention Cistern335005000Peak Control Standard</v>
      </c>
    </row>
    <row r="475" spans="1:12" x14ac:dyDescent="0.25">
      <c r="A475" s="94" t="s">
        <v>34</v>
      </c>
      <c r="C475" s="94">
        <v>3</v>
      </c>
      <c r="E475" s="98">
        <v>5000</v>
      </c>
      <c r="F475" s="98">
        <v>9999</v>
      </c>
      <c r="G475" s="98" t="s">
        <v>71</v>
      </c>
      <c r="H475" s="105">
        <v>5.5199999999999999E-2</v>
      </c>
      <c r="I475" s="105">
        <v>-2.3435000000000001</v>
      </c>
      <c r="J475" s="94" t="s">
        <v>107</v>
      </c>
      <c r="K475" s="105">
        <v>0.5</v>
      </c>
      <c r="L475" s="94" t="str">
        <f t="shared" si="13"/>
        <v>Detention Cistern350009999Peak Control Standard</v>
      </c>
    </row>
    <row r="476" spans="1:12" x14ac:dyDescent="0.25">
      <c r="A476" s="97" t="s">
        <v>34</v>
      </c>
      <c r="B476" s="97"/>
      <c r="C476" s="97">
        <v>3</v>
      </c>
      <c r="D476" s="97"/>
      <c r="E476" s="99">
        <v>9999</v>
      </c>
      <c r="F476" s="99">
        <v>10000</v>
      </c>
      <c r="G476" s="99" t="s">
        <v>71</v>
      </c>
      <c r="H476" s="103">
        <v>5.5199999999999999E-2</v>
      </c>
      <c r="I476" s="103">
        <v>-2.3435000000000001</v>
      </c>
      <c r="J476" s="97" t="s">
        <v>107</v>
      </c>
      <c r="K476" s="103">
        <v>0.625</v>
      </c>
      <c r="L476" s="97" t="str">
        <f t="shared" si="13"/>
        <v>Detention Cistern3999910000Peak Control Standard</v>
      </c>
    </row>
    <row r="477" spans="1:12" x14ac:dyDescent="0.25">
      <c r="A477" s="95" t="s">
        <v>34</v>
      </c>
      <c r="B477" s="95"/>
      <c r="C477" s="95">
        <v>4</v>
      </c>
      <c r="D477" s="95"/>
      <c r="E477" s="100">
        <v>0</v>
      </c>
      <c r="F477" s="100">
        <v>3500</v>
      </c>
      <c r="G477" s="95" t="s">
        <v>7</v>
      </c>
      <c r="H477" s="110">
        <v>6.4000000000000001E-2</v>
      </c>
      <c r="I477" s="110">
        <v>0</v>
      </c>
      <c r="J477" s="95" t="s">
        <v>107</v>
      </c>
      <c r="K477" s="110">
        <v>0.25</v>
      </c>
      <c r="L477" s="95" t="str">
        <f t="shared" si="13"/>
        <v>Detention Cistern403500Pre-developed Pasture Standard</v>
      </c>
    </row>
    <row r="478" spans="1:12" x14ac:dyDescent="0.25">
      <c r="A478" s="94" t="s">
        <v>34</v>
      </c>
      <c r="C478" s="94">
        <v>4</v>
      </c>
      <c r="E478" s="98">
        <v>3500</v>
      </c>
      <c r="F478" s="98">
        <v>5000</v>
      </c>
      <c r="G478" s="94" t="s">
        <v>7</v>
      </c>
      <c r="H478" s="105">
        <v>6.4000000000000001E-2</v>
      </c>
      <c r="I478" s="105">
        <v>0</v>
      </c>
      <c r="J478" s="94" t="s">
        <v>107</v>
      </c>
      <c r="K478" s="105">
        <v>0.25</v>
      </c>
      <c r="L478" s="94" t="str">
        <f t="shared" si="13"/>
        <v>Detention Cistern435005000Pre-developed Pasture Standard</v>
      </c>
    </row>
    <row r="479" spans="1:12" x14ac:dyDescent="0.25">
      <c r="A479" s="94" t="s">
        <v>34</v>
      </c>
      <c r="C479" s="94">
        <v>4</v>
      </c>
      <c r="E479" s="98">
        <v>5000</v>
      </c>
      <c r="F479" s="98">
        <v>6000</v>
      </c>
      <c r="G479" s="94" t="s">
        <v>7</v>
      </c>
      <c r="H479" s="105">
        <v>0</v>
      </c>
      <c r="I479" s="105">
        <v>322</v>
      </c>
      <c r="J479" s="94" t="s">
        <v>107</v>
      </c>
      <c r="K479" s="105">
        <v>0.25</v>
      </c>
      <c r="L479" s="94" t="str">
        <f t="shared" si="13"/>
        <v>Detention Cistern450006000Pre-developed Pasture Standard</v>
      </c>
    </row>
    <row r="480" spans="1:12" x14ac:dyDescent="0.25">
      <c r="A480" s="97" t="s">
        <v>34</v>
      </c>
      <c r="B480" s="97"/>
      <c r="C480" s="97">
        <v>4</v>
      </c>
      <c r="D480" s="97"/>
      <c r="E480" s="99">
        <v>6000</v>
      </c>
      <c r="F480" s="99">
        <v>10000</v>
      </c>
      <c r="G480" s="97" t="s">
        <v>7</v>
      </c>
      <c r="H480" s="103">
        <v>1E-4</v>
      </c>
      <c r="I480" s="103">
        <v>1.73</v>
      </c>
      <c r="J480" s="97" t="s">
        <v>106</v>
      </c>
      <c r="K480" s="103">
        <v>0.25</v>
      </c>
      <c r="L480" s="97" t="str">
        <f t="shared" si="13"/>
        <v>Detention Cistern4600010000Pre-developed Pasture Standard</v>
      </c>
    </row>
    <row r="481" spans="1:12" x14ac:dyDescent="0.25">
      <c r="A481" s="94" t="s">
        <v>34</v>
      </c>
      <c r="C481" s="94">
        <v>4</v>
      </c>
      <c r="E481" s="98">
        <v>0</v>
      </c>
      <c r="F481" s="98">
        <v>3500</v>
      </c>
      <c r="G481" s="98" t="s">
        <v>71</v>
      </c>
      <c r="H481" s="105">
        <v>1.41E-2</v>
      </c>
      <c r="I481" s="105">
        <v>1.1289</v>
      </c>
      <c r="J481" s="94" t="s">
        <v>106</v>
      </c>
      <c r="K481" s="105">
        <v>0.25</v>
      </c>
      <c r="L481" s="94" t="str">
        <f t="shared" si="13"/>
        <v>Detention Cistern403500Peak Control Standard</v>
      </c>
    </row>
    <row r="482" spans="1:12" x14ac:dyDescent="0.25">
      <c r="A482" s="94" t="s">
        <v>34</v>
      </c>
      <c r="C482" s="94">
        <v>4</v>
      </c>
      <c r="E482" s="98">
        <v>3500</v>
      </c>
      <c r="F482" s="98">
        <v>5000</v>
      </c>
      <c r="G482" s="98" t="s">
        <v>71</v>
      </c>
      <c r="H482" s="105">
        <v>1.41E-2</v>
      </c>
      <c r="I482" s="105">
        <v>1.1289</v>
      </c>
      <c r="J482" s="94" t="s">
        <v>106</v>
      </c>
      <c r="K482" s="105">
        <v>0.375</v>
      </c>
      <c r="L482" s="94" t="str">
        <f t="shared" si="13"/>
        <v>Detention Cistern435005000Peak Control Standard</v>
      </c>
    </row>
    <row r="483" spans="1:12" x14ac:dyDescent="0.25">
      <c r="A483" s="94" t="s">
        <v>34</v>
      </c>
      <c r="C483" s="94">
        <v>4</v>
      </c>
      <c r="E483" s="98">
        <v>5000</v>
      </c>
      <c r="F483" s="98">
        <v>9999</v>
      </c>
      <c r="G483" s="98" t="s">
        <v>71</v>
      </c>
      <c r="H483" s="105">
        <v>1.41E-2</v>
      </c>
      <c r="I483" s="105">
        <v>1.1289</v>
      </c>
      <c r="J483" s="94" t="s">
        <v>106</v>
      </c>
      <c r="K483" s="105">
        <v>0.5</v>
      </c>
      <c r="L483" s="94" t="str">
        <f t="shared" si="13"/>
        <v>Detention Cistern450009999Peak Control Standard</v>
      </c>
    </row>
    <row r="484" spans="1:12" x14ac:dyDescent="0.25">
      <c r="A484" s="97" t="s">
        <v>34</v>
      </c>
      <c r="B484" s="97"/>
      <c r="C484" s="97">
        <v>4</v>
      </c>
      <c r="D484" s="97"/>
      <c r="E484" s="99">
        <v>9999</v>
      </c>
      <c r="F484" s="99">
        <v>10000</v>
      </c>
      <c r="G484" s="99" t="s">
        <v>71</v>
      </c>
      <c r="H484" s="103">
        <v>1.41E-2</v>
      </c>
      <c r="I484" s="103">
        <v>1.1289</v>
      </c>
      <c r="J484" s="97" t="s">
        <v>106</v>
      </c>
      <c r="K484" s="103">
        <v>0.625</v>
      </c>
      <c r="L484" s="97" t="str">
        <f t="shared" si="13"/>
        <v>Detention Cistern4999910000Peak Control Standard</v>
      </c>
    </row>
    <row r="486" spans="1:12" x14ac:dyDescent="0.25">
      <c r="A486" s="10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8"/>
  <sheetViews>
    <sheetView workbookViewId="0">
      <selection activeCell="C4" sqref="C4"/>
    </sheetView>
  </sheetViews>
  <sheetFormatPr defaultRowHeight="15" x14ac:dyDescent="0.25"/>
  <cols>
    <col min="3" max="3" width="52.140625" bestFit="1" customWidth="1"/>
  </cols>
  <sheetData>
    <row r="1" spans="1:11" x14ac:dyDescent="0.25">
      <c r="A1" t="s">
        <v>2</v>
      </c>
      <c r="B1" t="s">
        <v>0</v>
      </c>
      <c r="C1" t="s">
        <v>8</v>
      </c>
      <c r="D1" t="s">
        <v>55</v>
      </c>
      <c r="E1" t="s">
        <v>20</v>
      </c>
      <c r="F1" t="s">
        <v>77</v>
      </c>
      <c r="G1" t="s">
        <v>83</v>
      </c>
      <c r="H1" t="s">
        <v>88</v>
      </c>
      <c r="I1" t="s">
        <v>97</v>
      </c>
      <c r="J1" t="s">
        <v>99</v>
      </c>
      <c r="K1" t="s">
        <v>132</v>
      </c>
    </row>
    <row r="2" spans="1:11" x14ac:dyDescent="0.25">
      <c r="A2" t="s">
        <v>4</v>
      </c>
      <c r="B2" t="s">
        <v>6</v>
      </c>
      <c r="C2" t="s">
        <v>7</v>
      </c>
      <c r="D2" t="s">
        <v>56</v>
      </c>
      <c r="E2">
        <v>2</v>
      </c>
      <c r="F2">
        <v>0.15</v>
      </c>
      <c r="G2">
        <v>1.5</v>
      </c>
      <c r="H2">
        <v>4</v>
      </c>
      <c r="I2">
        <v>24</v>
      </c>
      <c r="J2">
        <v>3</v>
      </c>
      <c r="K2" t="s">
        <v>4</v>
      </c>
    </row>
    <row r="3" spans="1:11" x14ac:dyDescent="0.25">
      <c r="A3" t="s">
        <v>3</v>
      </c>
      <c r="C3" t="s">
        <v>71</v>
      </c>
      <c r="D3" t="s">
        <v>57</v>
      </c>
      <c r="E3">
        <v>6</v>
      </c>
      <c r="F3">
        <v>0.3</v>
      </c>
      <c r="G3">
        <v>3</v>
      </c>
      <c r="H3">
        <v>6</v>
      </c>
      <c r="I3">
        <v>36</v>
      </c>
      <c r="J3">
        <v>4</v>
      </c>
      <c r="K3" t="s">
        <v>3</v>
      </c>
    </row>
    <row r="4" spans="1:11" x14ac:dyDescent="0.25">
      <c r="C4" t="s">
        <v>216</v>
      </c>
      <c r="E4">
        <v>12</v>
      </c>
      <c r="F4">
        <v>0.6</v>
      </c>
    </row>
    <row r="5" spans="1:11" x14ac:dyDescent="0.25">
      <c r="C5" t="s">
        <v>118</v>
      </c>
      <c r="F5">
        <v>1</v>
      </c>
    </row>
    <row r="6" spans="1:11" x14ac:dyDescent="0.25">
      <c r="C6" t="s">
        <v>217</v>
      </c>
      <c r="F6">
        <v>2.5</v>
      </c>
    </row>
    <row r="7" spans="1:11" x14ac:dyDescent="0.25">
      <c r="C7" t="s">
        <v>218</v>
      </c>
    </row>
    <row r="8" spans="1:11" x14ac:dyDescent="0.25">
      <c r="C8" t="s">
        <v>219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63062-AA92-499C-BBCA-C077113A772E}">
  <dimension ref="B1:I48"/>
  <sheetViews>
    <sheetView topLeftCell="A7" workbookViewId="0">
      <selection activeCell="C49" sqref="C49"/>
    </sheetView>
  </sheetViews>
  <sheetFormatPr defaultRowHeight="15" x14ac:dyDescent="0.25"/>
  <cols>
    <col min="2" max="2" width="25.85546875" bestFit="1" customWidth="1"/>
    <col min="3" max="3" width="61.5703125" bestFit="1" customWidth="1"/>
    <col min="7" max="7" width="1.140625" customWidth="1"/>
    <col min="8" max="8" width="9.140625" style="124"/>
  </cols>
  <sheetData>
    <row r="1" spans="2:9" ht="15.75" thickBot="1" x14ac:dyDescent="0.3"/>
    <row r="2" spans="2:9" ht="51.75" thickBot="1" x14ac:dyDescent="0.3">
      <c r="B2" s="149"/>
      <c r="C2" s="152"/>
      <c r="D2" s="154" t="s">
        <v>165</v>
      </c>
      <c r="E2" s="154" t="s">
        <v>166</v>
      </c>
      <c r="F2" s="154" t="s">
        <v>167</v>
      </c>
      <c r="G2" s="152"/>
      <c r="H2" s="154" t="s">
        <v>211</v>
      </c>
      <c r="I2" s="155" t="s">
        <v>212</v>
      </c>
    </row>
    <row r="3" spans="2:9" ht="15.75" thickBot="1" x14ac:dyDescent="0.3">
      <c r="B3" s="149" t="s">
        <v>157</v>
      </c>
      <c r="C3" s="150"/>
      <c r="D3" s="150"/>
      <c r="E3" s="150"/>
      <c r="F3" s="150"/>
      <c r="G3" s="152"/>
      <c r="H3" s="151"/>
      <c r="I3" s="153"/>
    </row>
    <row r="4" spans="2:9" ht="15.75" thickBot="1" x14ac:dyDescent="0.3">
      <c r="B4" s="149" t="s">
        <v>158</v>
      </c>
      <c r="C4" s="150" t="s">
        <v>158</v>
      </c>
      <c r="D4" s="151" t="s">
        <v>42</v>
      </c>
      <c r="E4" s="151" t="s">
        <v>42</v>
      </c>
      <c r="F4" s="151"/>
      <c r="G4" s="152"/>
      <c r="H4" s="151" t="s">
        <v>42</v>
      </c>
      <c r="I4" s="153"/>
    </row>
    <row r="5" spans="2:9" x14ac:dyDescent="0.25">
      <c r="B5" s="132" t="s">
        <v>159</v>
      </c>
      <c r="C5" s="133" t="s">
        <v>168</v>
      </c>
      <c r="D5" s="134" t="s">
        <v>42</v>
      </c>
      <c r="E5" s="134" t="s">
        <v>42</v>
      </c>
      <c r="F5" s="134"/>
      <c r="G5" s="135"/>
      <c r="H5" s="134"/>
      <c r="I5" s="146"/>
    </row>
    <row r="6" spans="2:9" x14ac:dyDescent="0.25">
      <c r="B6" s="137"/>
      <c r="C6" s="126" t="s">
        <v>169</v>
      </c>
      <c r="D6" s="125" t="s">
        <v>42</v>
      </c>
      <c r="E6" s="125" t="s">
        <v>42</v>
      </c>
      <c r="F6" s="125" t="s">
        <v>42</v>
      </c>
      <c r="H6" s="125" t="s">
        <v>42</v>
      </c>
      <c r="I6" s="138"/>
    </row>
    <row r="7" spans="2:9" x14ac:dyDescent="0.25">
      <c r="B7" s="137"/>
      <c r="C7" s="126" t="s">
        <v>170</v>
      </c>
      <c r="D7" s="125" t="s">
        <v>42</v>
      </c>
      <c r="E7" s="125" t="s">
        <v>42</v>
      </c>
      <c r="F7" s="125" t="s">
        <v>42</v>
      </c>
      <c r="H7" s="125"/>
      <c r="I7" s="138"/>
    </row>
    <row r="8" spans="2:9" x14ac:dyDescent="0.25">
      <c r="B8" s="137"/>
      <c r="C8" s="126" t="s">
        <v>171</v>
      </c>
      <c r="D8" s="125" t="s">
        <v>42</v>
      </c>
      <c r="E8" s="125" t="s">
        <v>42</v>
      </c>
      <c r="F8" s="125" t="s">
        <v>42</v>
      </c>
      <c r="H8" s="125" t="s">
        <v>42</v>
      </c>
      <c r="I8" s="138"/>
    </row>
    <row r="9" spans="2:9" x14ac:dyDescent="0.25">
      <c r="B9" s="137"/>
      <c r="C9" s="126" t="s">
        <v>172</v>
      </c>
      <c r="D9" s="125" t="s">
        <v>42</v>
      </c>
      <c r="E9" s="125" t="s">
        <v>42</v>
      </c>
      <c r="F9" s="125" t="s">
        <v>42</v>
      </c>
      <c r="H9" s="125" t="s">
        <v>42</v>
      </c>
      <c r="I9" s="138"/>
    </row>
    <row r="10" spans="2:9" ht="15.75" thickBot="1" x14ac:dyDescent="0.3">
      <c r="B10" s="139"/>
      <c r="C10" s="140" t="s">
        <v>173</v>
      </c>
      <c r="D10" s="141" t="s">
        <v>42</v>
      </c>
      <c r="E10" s="141" t="s">
        <v>42</v>
      </c>
      <c r="F10" s="141"/>
      <c r="G10" s="142"/>
      <c r="H10" s="141"/>
      <c r="I10" s="147"/>
    </row>
    <row r="11" spans="2:9" x14ac:dyDescent="0.25">
      <c r="B11" s="132" t="s">
        <v>164</v>
      </c>
      <c r="C11" s="133" t="s">
        <v>208</v>
      </c>
      <c r="D11" s="134" t="s">
        <v>42</v>
      </c>
      <c r="E11" s="134" t="s">
        <v>42</v>
      </c>
      <c r="F11" s="134" t="s">
        <v>42</v>
      </c>
      <c r="G11" s="135"/>
      <c r="H11" s="134" t="s">
        <v>42</v>
      </c>
      <c r="I11" s="136" t="s">
        <v>42</v>
      </c>
    </row>
    <row r="12" spans="2:9" x14ac:dyDescent="0.25">
      <c r="B12" s="137"/>
      <c r="C12" s="126" t="s">
        <v>207</v>
      </c>
      <c r="D12" s="125" t="s">
        <v>42</v>
      </c>
      <c r="E12" s="125" t="s">
        <v>42</v>
      </c>
      <c r="F12" s="125"/>
      <c r="H12" s="125" t="s">
        <v>42</v>
      </c>
      <c r="I12" s="138"/>
    </row>
    <row r="13" spans="2:9" x14ac:dyDescent="0.25">
      <c r="B13" s="137"/>
      <c r="C13" s="126" t="s">
        <v>174</v>
      </c>
      <c r="D13" s="125" t="s">
        <v>42</v>
      </c>
      <c r="E13" s="125" t="s">
        <v>42</v>
      </c>
      <c r="F13" s="125" t="s">
        <v>42</v>
      </c>
      <c r="H13" s="125" t="s">
        <v>42</v>
      </c>
      <c r="I13" s="148" t="s">
        <v>42</v>
      </c>
    </row>
    <row r="14" spans="2:9" x14ac:dyDescent="0.25">
      <c r="B14" s="137"/>
      <c r="C14" s="126" t="s">
        <v>175</v>
      </c>
      <c r="D14" s="125" t="s">
        <v>42</v>
      </c>
      <c r="E14" s="125"/>
      <c r="F14" s="125"/>
      <c r="H14" s="125"/>
      <c r="I14" s="138"/>
    </row>
    <row r="15" spans="2:9" x14ac:dyDescent="0.25">
      <c r="B15" s="137"/>
      <c r="C15" s="126" t="s">
        <v>176</v>
      </c>
      <c r="D15" s="125" t="s">
        <v>42</v>
      </c>
      <c r="E15" s="125" t="s">
        <v>42</v>
      </c>
      <c r="F15" s="125" t="s">
        <v>42</v>
      </c>
      <c r="H15" s="125" t="s">
        <v>42</v>
      </c>
      <c r="I15" s="148" t="s">
        <v>42</v>
      </c>
    </row>
    <row r="16" spans="2:9" x14ac:dyDescent="0.25">
      <c r="B16" s="137"/>
      <c r="C16" s="126" t="s">
        <v>177</v>
      </c>
      <c r="D16" s="125" t="s">
        <v>42</v>
      </c>
      <c r="E16" s="125"/>
      <c r="F16" s="125"/>
      <c r="H16" s="125"/>
      <c r="I16" s="138"/>
    </row>
    <row r="17" spans="2:9" x14ac:dyDescent="0.25">
      <c r="B17" s="137"/>
      <c r="C17" s="126" t="s">
        <v>179</v>
      </c>
      <c r="D17" s="125" t="s">
        <v>42</v>
      </c>
      <c r="E17" s="125" t="s">
        <v>42</v>
      </c>
      <c r="F17" s="125" t="s">
        <v>42</v>
      </c>
      <c r="H17" s="125"/>
      <c r="I17" s="138"/>
    </row>
    <row r="18" spans="2:9" x14ac:dyDescent="0.25">
      <c r="B18" s="137"/>
      <c r="C18" s="126" t="s">
        <v>178</v>
      </c>
      <c r="D18" s="125" t="s">
        <v>42</v>
      </c>
      <c r="E18" s="125" t="s">
        <v>42</v>
      </c>
      <c r="F18" s="125" t="s">
        <v>42</v>
      </c>
      <c r="H18" s="125" t="s">
        <v>42</v>
      </c>
      <c r="I18" s="148" t="s">
        <v>42</v>
      </c>
    </row>
    <row r="19" spans="2:9" ht="15.75" thickBot="1" x14ac:dyDescent="0.3">
      <c r="B19" s="139"/>
      <c r="C19" s="140" t="s">
        <v>206</v>
      </c>
      <c r="D19" s="141" t="s">
        <v>42</v>
      </c>
      <c r="E19" s="141" t="s">
        <v>42</v>
      </c>
      <c r="F19" s="141" t="s">
        <v>42</v>
      </c>
      <c r="G19" s="142"/>
      <c r="H19" s="141" t="s">
        <v>42</v>
      </c>
      <c r="I19" s="143" t="s">
        <v>42</v>
      </c>
    </row>
    <row r="20" spans="2:9" x14ac:dyDescent="0.25">
      <c r="B20" s="132" t="s">
        <v>160</v>
      </c>
      <c r="C20" s="133" t="s">
        <v>180</v>
      </c>
      <c r="D20" s="134" t="s">
        <v>42</v>
      </c>
      <c r="E20" s="134" t="s">
        <v>42</v>
      </c>
      <c r="F20" s="134"/>
      <c r="G20" s="135"/>
      <c r="H20" s="134"/>
      <c r="I20" s="146"/>
    </row>
    <row r="21" spans="2:9" ht="15.75" thickBot="1" x14ac:dyDescent="0.3">
      <c r="B21" s="139"/>
      <c r="C21" s="140" t="s">
        <v>223</v>
      </c>
      <c r="D21" s="141" t="s">
        <v>42</v>
      </c>
      <c r="E21" s="141"/>
      <c r="F21" s="141"/>
      <c r="G21" s="142"/>
      <c r="H21" s="141"/>
      <c r="I21" s="147"/>
    </row>
    <row r="22" spans="2:9" x14ac:dyDescent="0.25">
      <c r="B22" s="132" t="s">
        <v>161</v>
      </c>
      <c r="C22" s="133" t="s">
        <v>181</v>
      </c>
      <c r="D22" s="134" t="s">
        <v>42</v>
      </c>
      <c r="E22" s="134" t="s">
        <v>42</v>
      </c>
      <c r="F22" s="134"/>
      <c r="G22" s="135"/>
      <c r="H22" s="134" t="s">
        <v>42</v>
      </c>
      <c r="I22" s="146"/>
    </row>
    <row r="23" spans="2:9" ht="15.75" thickBot="1" x14ac:dyDescent="0.3">
      <c r="B23" s="139"/>
      <c r="C23" s="140" t="s">
        <v>209</v>
      </c>
      <c r="D23" s="141" t="s">
        <v>42</v>
      </c>
      <c r="E23" s="141" t="s">
        <v>42</v>
      </c>
      <c r="F23" s="141" t="s">
        <v>42</v>
      </c>
      <c r="G23" s="142"/>
      <c r="H23" s="141" t="s">
        <v>42</v>
      </c>
      <c r="I23" s="147"/>
    </row>
    <row r="24" spans="2:9" x14ac:dyDescent="0.25">
      <c r="B24" s="132" t="s">
        <v>162</v>
      </c>
      <c r="C24" s="133" t="s">
        <v>182</v>
      </c>
      <c r="D24" s="134" t="s">
        <v>42</v>
      </c>
      <c r="E24" s="134" t="s">
        <v>42</v>
      </c>
      <c r="F24" s="134"/>
      <c r="G24" s="135"/>
      <c r="H24" s="134"/>
      <c r="I24" s="146"/>
    </row>
    <row r="25" spans="2:9" x14ac:dyDescent="0.25">
      <c r="B25" s="137"/>
      <c r="C25" s="126" t="s">
        <v>183</v>
      </c>
      <c r="D25" s="125" t="s">
        <v>42</v>
      </c>
      <c r="E25" s="125" t="s">
        <v>42</v>
      </c>
      <c r="F25" s="125"/>
      <c r="H25" s="125" t="s">
        <v>42</v>
      </c>
      <c r="I25" s="138"/>
    </row>
    <row r="26" spans="2:9" x14ac:dyDescent="0.25">
      <c r="B26" s="137"/>
      <c r="C26" s="126" t="s">
        <v>210</v>
      </c>
      <c r="D26" s="125" t="s">
        <v>42</v>
      </c>
      <c r="E26" s="125" t="s">
        <v>42</v>
      </c>
      <c r="F26" s="125"/>
      <c r="H26" s="125" t="s">
        <v>42</v>
      </c>
      <c r="I26" s="138"/>
    </row>
    <row r="27" spans="2:9" x14ac:dyDescent="0.25">
      <c r="B27" s="137"/>
      <c r="C27" s="126" t="s">
        <v>184</v>
      </c>
      <c r="D27" s="125" t="s">
        <v>42</v>
      </c>
      <c r="E27" s="125" t="s">
        <v>42</v>
      </c>
      <c r="F27" s="125"/>
      <c r="H27" s="125" t="s">
        <v>42</v>
      </c>
      <c r="I27" s="138"/>
    </row>
    <row r="28" spans="2:9" ht="15.75" thickBot="1" x14ac:dyDescent="0.3">
      <c r="B28" s="139"/>
      <c r="C28" s="140" t="s">
        <v>185</v>
      </c>
      <c r="D28" s="141"/>
      <c r="E28" s="141" t="s">
        <v>42</v>
      </c>
      <c r="F28" s="141"/>
      <c r="G28" s="142"/>
      <c r="H28" s="141"/>
      <c r="I28" s="147"/>
    </row>
    <row r="29" spans="2:9" x14ac:dyDescent="0.25">
      <c r="B29" s="137" t="s">
        <v>163</v>
      </c>
      <c r="C29" s="127" t="s">
        <v>186</v>
      </c>
      <c r="D29" s="144" t="s">
        <v>42</v>
      </c>
      <c r="E29" s="144" t="s">
        <v>42</v>
      </c>
      <c r="F29" s="144" t="s">
        <v>42</v>
      </c>
      <c r="H29" s="144" t="s">
        <v>42</v>
      </c>
      <c r="I29" s="145" t="s">
        <v>42</v>
      </c>
    </row>
    <row r="30" spans="2:9" x14ac:dyDescent="0.25">
      <c r="B30" s="137"/>
      <c r="C30" s="126" t="s">
        <v>187</v>
      </c>
      <c r="D30" s="125"/>
      <c r="E30" s="125"/>
      <c r="F30" s="125" t="s">
        <v>42</v>
      </c>
      <c r="H30" s="125"/>
      <c r="I30" s="138"/>
    </row>
    <row r="31" spans="2:9" x14ac:dyDescent="0.25">
      <c r="B31" s="137"/>
      <c r="C31" s="126" t="s">
        <v>188</v>
      </c>
      <c r="D31" s="125"/>
      <c r="E31" s="125"/>
      <c r="F31" s="125" t="s">
        <v>42</v>
      </c>
      <c r="H31" s="125"/>
      <c r="I31" s="138"/>
    </row>
    <row r="32" spans="2:9" x14ac:dyDescent="0.25">
      <c r="B32" s="137"/>
      <c r="C32" s="126" t="s">
        <v>189</v>
      </c>
      <c r="D32" s="125"/>
      <c r="E32" s="125"/>
      <c r="F32" s="125" t="s">
        <v>42</v>
      </c>
      <c r="H32" s="125"/>
      <c r="I32" s="138"/>
    </row>
    <row r="33" spans="2:9" x14ac:dyDescent="0.25">
      <c r="B33" s="137"/>
      <c r="C33" s="126" t="s">
        <v>190</v>
      </c>
      <c r="D33" s="125"/>
      <c r="E33" s="125"/>
      <c r="F33" s="125" t="s">
        <v>42</v>
      </c>
      <c r="H33" s="125"/>
      <c r="I33" s="138"/>
    </row>
    <row r="34" spans="2:9" x14ac:dyDescent="0.25">
      <c r="B34" s="137"/>
      <c r="C34" s="126" t="s">
        <v>191</v>
      </c>
      <c r="D34" s="125"/>
      <c r="E34" s="125"/>
      <c r="F34" s="125" t="s">
        <v>42</v>
      </c>
      <c r="H34" s="125"/>
      <c r="I34" s="138"/>
    </row>
    <row r="35" spans="2:9" x14ac:dyDescent="0.25">
      <c r="B35" s="137"/>
      <c r="C35" s="126" t="s">
        <v>192</v>
      </c>
      <c r="D35" s="125"/>
      <c r="E35" s="125"/>
      <c r="F35" s="125" t="s">
        <v>42</v>
      </c>
      <c r="H35" s="125"/>
      <c r="I35" s="138"/>
    </row>
    <row r="36" spans="2:9" x14ac:dyDescent="0.25">
      <c r="B36" s="137"/>
      <c r="C36" s="126" t="s">
        <v>193</v>
      </c>
      <c r="D36" s="125"/>
      <c r="E36" s="125"/>
      <c r="F36" s="125" t="s">
        <v>42</v>
      </c>
      <c r="H36" s="125"/>
      <c r="I36" s="138"/>
    </row>
    <row r="37" spans="2:9" x14ac:dyDescent="0.25">
      <c r="B37" s="137"/>
      <c r="C37" s="126" t="s">
        <v>194</v>
      </c>
      <c r="D37" s="125"/>
      <c r="E37" s="125"/>
      <c r="F37" s="125" t="s">
        <v>42</v>
      </c>
      <c r="H37" s="125"/>
      <c r="I37" s="138"/>
    </row>
    <row r="38" spans="2:9" x14ac:dyDescent="0.25">
      <c r="B38" s="137"/>
      <c r="C38" s="126" t="s">
        <v>195</v>
      </c>
      <c r="D38" s="125"/>
      <c r="E38" s="125"/>
      <c r="F38" s="125" t="s">
        <v>42</v>
      </c>
      <c r="H38" s="125"/>
      <c r="I38" s="138"/>
    </row>
    <row r="39" spans="2:9" x14ac:dyDescent="0.25">
      <c r="B39" s="137"/>
      <c r="C39" s="126" t="s">
        <v>196</v>
      </c>
      <c r="D39" s="125"/>
      <c r="E39" s="125"/>
      <c r="F39" s="125" t="s">
        <v>42</v>
      </c>
      <c r="H39" s="125"/>
      <c r="I39" s="138"/>
    </row>
    <row r="40" spans="2:9" x14ac:dyDescent="0.25">
      <c r="B40" s="137"/>
      <c r="C40" s="126" t="s">
        <v>197</v>
      </c>
      <c r="D40" s="125"/>
      <c r="E40" s="125"/>
      <c r="F40" s="125" t="s">
        <v>42</v>
      </c>
      <c r="H40" s="125"/>
      <c r="I40" s="138"/>
    </row>
    <row r="41" spans="2:9" x14ac:dyDescent="0.25">
      <c r="B41" s="137"/>
      <c r="C41" s="126" t="s">
        <v>198</v>
      </c>
      <c r="D41" s="125"/>
      <c r="E41" s="125"/>
      <c r="F41" s="125" t="s">
        <v>42</v>
      </c>
      <c r="H41" s="125"/>
      <c r="I41" s="138"/>
    </row>
    <row r="42" spans="2:9" x14ac:dyDescent="0.25">
      <c r="B42" s="137"/>
      <c r="C42" s="126" t="s">
        <v>199</v>
      </c>
      <c r="D42" s="125"/>
      <c r="E42" s="125"/>
      <c r="F42" s="125" t="s">
        <v>42</v>
      </c>
      <c r="H42" s="125"/>
      <c r="I42" s="138"/>
    </row>
    <row r="43" spans="2:9" x14ac:dyDescent="0.25">
      <c r="B43" s="137"/>
      <c r="C43" s="126" t="s">
        <v>200</v>
      </c>
      <c r="D43" s="125"/>
      <c r="E43" s="125" t="s">
        <v>42</v>
      </c>
      <c r="F43" s="125" t="s">
        <v>42</v>
      </c>
      <c r="H43" s="125"/>
      <c r="I43" s="138"/>
    </row>
    <row r="44" spans="2:9" x14ac:dyDescent="0.25">
      <c r="B44" s="137"/>
      <c r="C44" s="126" t="s">
        <v>201</v>
      </c>
      <c r="D44" s="125"/>
      <c r="E44" s="125" t="s">
        <v>42</v>
      </c>
      <c r="F44" s="125" t="s">
        <v>42</v>
      </c>
      <c r="H44" s="125"/>
      <c r="I44" s="138"/>
    </row>
    <row r="45" spans="2:9" x14ac:dyDescent="0.25">
      <c r="B45" s="137"/>
      <c r="C45" s="126" t="s">
        <v>202</v>
      </c>
      <c r="D45" s="125"/>
      <c r="E45" s="125" t="s">
        <v>42</v>
      </c>
      <c r="F45" s="125" t="s">
        <v>42</v>
      </c>
      <c r="H45" s="125"/>
      <c r="I45" s="138"/>
    </row>
    <row r="46" spans="2:9" x14ac:dyDescent="0.25">
      <c r="B46" s="137"/>
      <c r="C46" s="126" t="s">
        <v>203</v>
      </c>
      <c r="D46" s="125"/>
      <c r="E46" s="125"/>
      <c r="F46" s="125" t="s">
        <v>42</v>
      </c>
      <c r="H46" s="125"/>
      <c r="I46" s="138"/>
    </row>
    <row r="47" spans="2:9" x14ac:dyDescent="0.25">
      <c r="B47" s="137"/>
      <c r="C47" s="126" t="s">
        <v>204</v>
      </c>
      <c r="D47" s="125"/>
      <c r="E47" s="125"/>
      <c r="F47" s="125" t="s">
        <v>42</v>
      </c>
      <c r="H47" s="125"/>
      <c r="I47" s="138"/>
    </row>
    <row r="48" spans="2:9" ht="15.75" thickBot="1" x14ac:dyDescent="0.3">
      <c r="B48" s="139"/>
      <c r="C48" s="140" t="s">
        <v>205</v>
      </c>
      <c r="D48" s="141" t="s">
        <v>42</v>
      </c>
      <c r="E48" s="141" t="s">
        <v>42</v>
      </c>
      <c r="F48" s="141" t="s">
        <v>42</v>
      </c>
      <c r="G48" s="142"/>
      <c r="H48" s="141" t="s">
        <v>42</v>
      </c>
      <c r="I48" s="143" t="s">
        <v>42</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C2A50ED32A10D4E9E3EDB447AEEF11A" ma:contentTypeVersion="" ma:contentTypeDescription="Create a new document." ma:contentTypeScope="" ma:versionID="57d8f33d171d54d192271b5d4cdac543">
  <xsd:schema xmlns:xsd="http://www.w3.org/2001/XMLSchema" xmlns:xs="http://www.w3.org/2001/XMLSchema" xmlns:p="http://schemas.microsoft.com/office/2006/metadata/properties" xmlns:ns2="3a9a7314-f08a-40d3-a4f8-12198e7dc1f5" targetNamespace="http://schemas.microsoft.com/office/2006/metadata/properties" ma:root="true" ma:fieldsID="777248a9f480240bd1f9f4b9371798c1" ns2:_="">
    <xsd:import namespace="3a9a7314-f08a-40d3-a4f8-12198e7dc1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9a7314-f08a-40d3-a4f8-12198e7dc1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15982E-6C6D-4E1B-A185-E71B76F0313D}">
  <ds:schemaRefs>
    <ds:schemaRef ds:uri="3a9a7314-f08a-40d3-a4f8-12198e7dc1f5"/>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FDA9382D-F509-4E6A-AE0B-218F062F73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9a7314-f08a-40d3-a4f8-12198e7dc1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0F9513-729F-4C9F-8388-F417AF1FB9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23</vt:i4>
      </vt:variant>
    </vt:vector>
  </HeadingPairs>
  <TitlesOfParts>
    <vt:vector size="27" baseType="lpstr">
      <vt:lpstr>Calculator</vt:lpstr>
      <vt:lpstr>Sizing Factors</vt:lpstr>
      <vt:lpstr>Lists</vt:lpstr>
      <vt:lpstr>Standards and Pre-Sizing</vt:lpstr>
      <vt:lpstr>All</vt:lpstr>
      <vt:lpstr>DrywellDepth</vt:lpstr>
      <vt:lpstr>FCStandard</vt:lpstr>
      <vt:lpstr>InfRate</vt:lpstr>
      <vt:lpstr>InfRateLarge</vt:lpstr>
      <vt:lpstr>InfTrenchDepth</vt:lpstr>
      <vt:lpstr>Pasture</vt:lpstr>
      <vt:lpstr>PastureandPeak</vt:lpstr>
      <vt:lpstr>PastureandWQ</vt:lpstr>
      <vt:lpstr>PastureCheck</vt:lpstr>
      <vt:lpstr>Peak</vt:lpstr>
      <vt:lpstr>PeakandWQ</vt:lpstr>
      <vt:lpstr>PeakCheck</vt:lpstr>
      <vt:lpstr>PipeDiameter</vt:lpstr>
      <vt:lpstr>Ponding</vt:lpstr>
      <vt:lpstr>PondingVert</vt:lpstr>
      <vt:lpstr>Project</vt:lpstr>
      <vt:lpstr>Sideslopes</vt:lpstr>
      <vt:lpstr>Standard</vt:lpstr>
      <vt:lpstr>VaultDepth</vt:lpstr>
      <vt:lpstr>WQ</vt:lpstr>
      <vt:lpstr>WQCheck</vt:lpstr>
      <vt:lpstr>YesNo</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DCI - Pre-Sized Flow Control Calculator</dc:title>
  <dc:creator>Kristen Matsumura</dc:creator>
  <cp:lastModifiedBy>Kristen Matsumura</cp:lastModifiedBy>
  <cp:lastPrinted>2016-01-27T21:27:21Z</cp:lastPrinted>
  <dcterms:created xsi:type="dcterms:W3CDTF">2015-12-08T01:03:59Z</dcterms:created>
  <dcterms:modified xsi:type="dcterms:W3CDTF">2026-06-25T23:25:08Z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0x010100AC2A50ED32A10D4E9E3EDB447AEEF11A</vt:lpwstr>
  </property>
</Properties>
</file>